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724" activeTab="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'Лист1'!$A$1:$J$131</definedName>
  </definedNames>
  <calcPr fullCalcOnLoad="1"/>
</workbook>
</file>

<file path=xl/sharedStrings.xml><?xml version="1.0" encoding="utf-8"?>
<sst xmlns="http://schemas.openxmlformats.org/spreadsheetml/2006/main" count="1263" uniqueCount="317">
  <si>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</si>
  <si>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</si>
  <si>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</si>
  <si>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</si>
  <si>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</si>
  <si>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</si>
  <si>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</si>
  <si>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</si>
  <si>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</si>
  <si>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</si>
  <si>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</si>
  <si>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</si>
  <si>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</si>
  <si>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</si>
  <si>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</si>
  <si>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</si>
  <si>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НЕНАЛОГОВЫЕ ДОХОДЫ - всего</t>
  </si>
  <si>
    <t>ОХРАНА ОКРУЖАЮЩЕЙ СРЕДЫ</t>
  </si>
  <si>
    <t xml:space="preserve">           капремонт    </t>
  </si>
  <si>
    <t>СУБВЕНЦИИ</t>
  </si>
  <si>
    <t>Прочие неналоговые доходы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</si>
  <si>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</si>
  <si>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</si>
  <si>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</si>
  <si>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</si>
  <si>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</si>
  <si>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</si>
  <si>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</si>
  <si>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</si>
  <si>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</si>
  <si>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</si>
  <si>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</si>
  <si>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</si>
  <si>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</si>
  <si>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</si>
  <si>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</si>
  <si>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</si>
  <si>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</si>
  <si>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</si>
  <si>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</si>
  <si>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</si>
  <si>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</si>
  <si>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</si>
  <si>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</si>
  <si>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</si>
  <si>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</si>
  <si>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</si>
  <si>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</si>
  <si>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</si>
  <si>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</si>
  <si>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</si>
  <si>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</si>
  <si>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</si>
  <si>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Другие общегосударственные  вопросы</t>
  </si>
  <si>
    <t>ПРОЧИЕ  СУБСИДИИ  БЮДЖЕТАМ ПОСЕЛЕНИЙ</t>
  </si>
  <si>
    <t>ПРОЧИЕ  СУБСИДИИ БЮДЖЕТАМ  ПОСЕЛЕНИЙ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</si>
  <si>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</si>
  <si>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</si>
  <si>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</si>
  <si>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</si>
  <si>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</si>
  <si>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</si>
  <si>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</si>
  <si>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</si>
  <si>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в  том  числе :Коммунальное хозяйство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</si>
  <si>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</si>
  <si>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</si>
  <si>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</si>
  <si>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</si>
  <si>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</si>
  <si>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</si>
  <si>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</si>
  <si>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</si>
  <si>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</si>
  <si>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</si>
  <si>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</si>
  <si>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</si>
  <si>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</si>
  <si>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</si>
  <si>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</si>
  <si>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</si>
  <si>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</si>
  <si>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 xml:space="preserve">ПРОЧИЕ  СУБСИДИИ  БЮДЖЕТАМ  ПОСЕЛЕНИЙ </t>
  </si>
  <si>
    <t>ДОХОДЫ ОТ ОКАЗАНИЯ ПЛАТНЫХ УСЛУГ И КОМПЕНСАЦИИ ЗАТРАТ ГОСУДАРСТВА</t>
  </si>
  <si>
    <t>Прочие доходы  от оказания платных услуг  получателями средств бюджетов  поселений и компенсации  затрат государства бюджетов поселений</t>
  </si>
  <si>
    <t>в  том  числе :Жилищное хозяйство</t>
  </si>
  <si>
    <t>Защита населения и территории  от последствий    чрезвычайных  ситуаций  природного и техногенного характера, гражданская оборона</t>
  </si>
  <si>
    <t>Защита населения и территории  от  последствий    чрезвычайных  ситуаций природного и техногенного характера, гражданская оборона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</si>
  <si>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</si>
  <si>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</si>
  <si>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</si>
  <si>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</si>
  <si>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</si>
  <si>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ЗАДОЛЖЕННОСТЬ  И  ПЕРЕРАСЧЕТЫ  ПО  ОТМЕНЕНЫМ НАЛОГАМ, СБОРАМ И ИНЫМ ОБЯЗАТЕЛЬНЫМ ПЛАТЕЖАМ</t>
  </si>
  <si>
    <t xml:space="preserve">          реализ.дополн. меропр.,направл.на снижение напряжен.на рынке труда</t>
  </si>
  <si>
    <t>Резервные фонды</t>
  </si>
  <si>
    <t xml:space="preserve">В том числе:Содержание аварийно-спасательного  звена </t>
  </si>
  <si>
    <t xml:space="preserve">                     Обеспечение противопожарной деятельности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</si>
  <si>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</si>
  <si>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</si>
  <si>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</si>
  <si>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</si>
  <si>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</si>
  <si>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</si>
  <si>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ИТОГО  БЕЗВОЗМЕЗДНЫХ ПОСТУПЛЕНИЙ</t>
  </si>
  <si>
    <t>невыясненные поступления</t>
  </si>
  <si>
    <t xml:space="preserve">ПРОЧИЕ  СУБСИДИИ БЮДЖЕТАМ  ПОСЕЛЕНИЙ  </t>
  </si>
  <si>
    <t>осуществление первичного воинского учета на территориях, где отсутствуют военные комиссариаты (фед.)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</si>
  <si>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</si>
  <si>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</si>
  <si>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прочие  неналоговые  доходы  бюджетов  поселений  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</si>
  <si>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</si>
  <si>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</si>
  <si>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</si>
  <si>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</si>
  <si>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СУБСИДИИ</t>
  </si>
  <si>
    <t>в том числе</t>
  </si>
  <si>
    <t>из них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</si>
  <si>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</si>
  <si>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ИНЫЕ МЕЖБЮДЖЕТНЫЕ ТРАНСФЕРТЫ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</si>
  <si>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</si>
  <si>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</si>
  <si>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</si>
  <si>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</si>
  <si>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ФИЗИЧЕСКАЯ КУЛЬТУРА И СПОРТ</t>
  </si>
  <si>
    <t>доходы от реализации имущества</t>
  </si>
  <si>
    <t>невыясненные поступления, зачисляемые в бюджеты поселений</t>
  </si>
  <si>
    <t xml:space="preserve">                     Обеспечение пожарной безопасности</t>
  </si>
  <si>
    <t>Обеспечение пожарной безопасности</t>
  </si>
  <si>
    <t>прочие неналоговые доходы</t>
  </si>
  <si>
    <t xml:space="preserve">          прочие мероприятия по благоустройству</t>
  </si>
  <si>
    <t xml:space="preserve">      Дорожное хозяйство (дорожные фонды)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</si>
  <si>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</si>
  <si>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невыясненные прступления</t>
  </si>
  <si>
    <t>Доходы от реализации иного имущества, находящегося в собственности поселений</t>
  </si>
  <si>
    <t>в том числе: дотация на покрытие убытков  ЖКХ</t>
  </si>
  <si>
    <t xml:space="preserve">невыясненные поступления 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</si>
  <si>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</si>
  <si>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</si>
  <si>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арендная плата за земли после разграничения</t>
  </si>
  <si>
    <t>ИТОГО БЕЗВОЗМЕЗДНЫХ ПОСТУПЛЕНИЙ</t>
  </si>
  <si>
    <t>капитальный ремонт и ремонт дворовых территорий многоквартирных домов, проездов к дворовым территориям многоквартирныых домов( респ. )</t>
  </si>
  <si>
    <t>в  том  числе:  расходы на содержание объектов  в области  коммунального хозяйства</t>
  </si>
  <si>
    <t>в  том числе : на перечисления по обеспечению деятельности  муниципальных учреждений</t>
  </si>
  <si>
    <t>в  том числе : субсидии на обеспечение деятельности музеев</t>
  </si>
  <si>
    <t>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</si>
  <si>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</si>
  <si>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СУБСИДИИ БЮДЖЕТАМ ПОСЕЛЕНИЙ НА БЮДЖЕТНЫЕ ИНВЕСТИЦИИ  В ОБЪЕКТЫ КАПИТАЛЬНОГО СТРОИТЕЛЬСТВА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</si>
  <si>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</si>
  <si>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</si>
  <si>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в том числе: Коммунальное  хозяйство</t>
  </si>
  <si>
    <t>доходы от сдачи в аренду имущества</t>
  </si>
  <si>
    <t>арендная плата за земли, находящ. в собственности поселений</t>
  </si>
  <si>
    <t>арендная плата за земли  до  разграничения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</si>
  <si>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</si>
  <si>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</si>
  <si>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в том числе: Жилищное  хозяйство</t>
  </si>
  <si>
    <t>из них: капитальный ремонт жилищного фонда</t>
  </si>
  <si>
    <t>в  том  числе:  капитальный и текущий ремонт объектов водоснабжения</t>
  </si>
  <si>
    <t>из них: капитальный и текущий ремонт  объектов водоснабжения</t>
  </si>
  <si>
    <t xml:space="preserve">  из них: капитальный и текущий ремонт объектов водоснабжения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</si>
  <si>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</si>
  <si>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</si>
  <si>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</si>
  <si>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</si>
  <si>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</si>
  <si>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</si>
  <si>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</si>
  <si>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 xml:space="preserve">           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</si>
  <si>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доходы от продажи земельных участков, находящиеся в собственности сельских поселений (за исключением земельных участков муниципальных бюджетных и автономных учреждений)</t>
  </si>
  <si>
    <t>в т. ч. на мероприятия по регулированию численности безнадзорных животных ( местн.)</t>
  </si>
  <si>
    <t>ПРОЧИЕ МЕЖБЮДЖЕТНЫЕ ТРАНСФЕРТЫ, ПЕРЕДАВАЕМЫЕ БЮДЖЕТАМ ПОСЕЛЕНИЙ</t>
  </si>
  <si>
    <t>из них: содержание муниципального жилфонда</t>
  </si>
  <si>
    <t>из  них: прочие выплаиы по обязательствам муниципального образования (районн. бюдж.)</t>
  </si>
  <si>
    <t xml:space="preserve">       Сельское хозяйство и рыболовство</t>
  </si>
  <si>
    <t>ДОХОДЫ ОТ ОКАЗАНИЯ  ПЛАТНЫХ УСЛУГ (РАБОТ) И КОМПЕНСАЦИИ ЗАТРАТ ГОСУДАРСТВА</t>
  </si>
  <si>
    <t>Прочие доходы от оказания платных услуг (работ)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</si>
  <si>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</si>
  <si>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</si>
  <si>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</si>
  <si>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СУБСИДИИ  БЮДЖЕТАМ ПОСЕЛЕНИЙ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</si>
  <si>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</si>
  <si>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</si>
  <si>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поддержка муниципальных программ формирования современной городской среды</t>
  </si>
  <si>
    <t>содержание жилфонда</t>
  </si>
  <si>
    <t>ждоходы от реализации иного имущества, находящегося в собственности поселения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</si>
  <si>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</si>
  <si>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</si>
  <si>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 xml:space="preserve">           на реализацию проектов развития общественной инфраструктуры, основанных на местных инициативах (ср-ва респ. бюдж.)             </t>
  </si>
  <si>
    <t>в том числе субсидии на реализацию проектов развития общественной инфраструктуры, основанных на местных инициативах</t>
  </si>
  <si>
    <t>в т. ч. на мероприятия по регулированию численности безнадзорных животных ( ср-ва посел.)</t>
  </si>
  <si>
    <t xml:space="preserve">           на реализацию проектов развития общественной инфраструктуры, основанных на местных инициативах (ср-ва посел.)             </t>
  </si>
  <si>
    <t xml:space="preserve">           на реализацию проектов развития общественной инфраструктуры, основанных на местных инициативах (ср-ва  насел.)             </t>
  </si>
  <si>
    <t xml:space="preserve">                      ср-ва поселений  (софинансирование)</t>
  </si>
  <si>
    <t>в  том числе : на перечисления по содержанию библиотек</t>
  </si>
  <si>
    <t xml:space="preserve">                      ср-ва поселений (софинансир.)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</si>
  <si>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</si>
  <si>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ГОСУДАРСТВЕННАЯ ПОШЛИНА</t>
  </si>
  <si>
    <t>из них: газификация населенных пунктов (проектир., стр-во, (реконстр.) газопроводных сетей)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</si>
  <si>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</si>
  <si>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</si>
  <si>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 xml:space="preserve">           на реализацию проектов развития общественной инфраструктуры, основанных на местных инициативах (ср-ва местн. бюдж.)            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</si>
  <si>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</si>
  <si>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поселения</t>
  </si>
  <si>
    <t xml:space="preserve">в  том числе : на расходы по  оплате за ПСД по стр-ву СДК </t>
  </si>
  <si>
    <t>В т. ч. на  строительство (реконструкция) зданий муниципальных учреждений культуры (ПСД на СДК)</t>
  </si>
  <si>
    <t>доходы от продажи земельных участков, находящихся в собственности сельских поселений(за исключением  земельных участков бюджетных и автономных учреждений)</t>
  </si>
  <si>
    <t xml:space="preserve">           на реализацию проектов развития общественной инфраструктуры, основанных на местных инициативах - всего       </t>
  </si>
  <si>
    <t xml:space="preserve">       в том числе: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</si>
  <si>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   на реализацию проектов развития общественной инфраструктуры, основанных на местных инициативах - всего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</si>
  <si>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респ. бюдж.)             </t>
  </si>
  <si>
    <t xml:space="preserve">     в том числе:  на реализацию проектов развития общественной инфраструктуры, основанных на местных инициативах (ср-ва мест. бюдж.)             </t>
  </si>
  <si>
    <t xml:space="preserve">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</si>
  <si>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</si>
  <si>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</si>
  <si>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</si>
  <si>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</si>
  <si>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на реализацию проектов развития общественной инфраструктуры, основанных на местных инициативах (ср-ва  респ.бюдж.)             </t>
  </si>
  <si>
    <t xml:space="preserve">    в том числе: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</si>
  <si>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  поощрение победителей ежегодного районного (городского) смотра-конкурса на лучшее озеленение и благоустройство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</si>
  <si>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</t>
  </si>
  <si>
    <t>в том числе субсидии на реализацию проектов развития общественной инфраструктуры, основанных на местных инициативах ( раздел  "ЖКХ")</t>
  </si>
  <si>
    <t>в том числе субсидии на реализацию проектов развития общественной инфраструктуры, основанных на местных инициативах ( ПР  "0409")</t>
  </si>
  <si>
    <t xml:space="preserve">из  них: выполнение других обязательств  муниципального образования </t>
  </si>
  <si>
    <t xml:space="preserve">из  них:  выполнение других обязательств  муниципального образования </t>
  </si>
  <si>
    <t>И.о. начальника  финансового отдела</t>
  </si>
  <si>
    <t>в  том числе :   резервные  средства</t>
  </si>
  <si>
    <t xml:space="preserve">  из них: эксплуатация, техническое содержание и обслуживание сетей водопровода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</si>
  <si>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</si>
  <si>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 продажи  земельных участков , находящихся в собственности городских поселений  (за исключением  земельных участков  муниципальных  бюджетных и автономных учреждений)</t>
  </si>
  <si>
    <t>доходы от  продажи  земельных участков , находящихся в собственности сельских поселений  (за исключением  земельных участков  муниципальных  бюджетных и автономных учреждений)</t>
  </si>
  <si>
    <t>доходы от продажи земельных участков, находящиеся в муниципальной собственности</t>
  </si>
  <si>
    <t>ДОТАЦИИ НА ПОДДЕРЖКУ МЕР  ПО ОБЕСПЕЧЕНИЮ СБАЛАНСИРОВАННОСТИ БЮДЖЕТОВ</t>
  </si>
  <si>
    <t xml:space="preserve">доходы от  продажи  земельных участков </t>
  </si>
  <si>
    <t>Водное хозяйство</t>
  </si>
  <si>
    <t>в т. ч. Мероприятия в области использования, охраны водных объектов и гидротехнических сооружений</t>
  </si>
  <si>
    <t>СОЦИАЛЬНАЯ ПОЛИТИКА</t>
  </si>
  <si>
    <t>в т. ч. : Выплаты пенсии за выслугу лет муниципальным служащим</t>
  </si>
  <si>
    <t xml:space="preserve">        Водное хозяйство</t>
  </si>
  <si>
    <t>из  них: прочие выплаты по  обязательствам муниципального образования</t>
  </si>
  <si>
    <t>из  них: выполнение других обязательств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</si>
  <si>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</t>
  </si>
  <si>
    <t xml:space="preserve">СУБСИДИИ БЮДЖЕТАМ НА СОФИНАНСИРОВАНИЕ КАПИТАЛЬНЫХ ВЛОЖЕНИЙ 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</si>
  <si>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   (КР Дворовых)</t>
  </si>
  <si>
    <t>Общеэкономические вопросы</t>
  </si>
  <si>
    <t xml:space="preserve">    в т. ч. организация  временного трудоустройства безработных граждан, испытывающих трудности в поиске работы</t>
  </si>
  <si>
    <t>из  них: осуществление  мер по противодействию терроризму в муниципальном образовании</t>
  </si>
  <si>
    <t>из  них: обеспечение  реализ. полномоч. по технич. учету, технич. инвентариз. и определ. кадастров. стоим. объектов недвижимости, а также мониторингу и обработке данных рынка недвижимости</t>
  </si>
  <si>
    <t>прочие выплаты по обязательствам  муниципального образования</t>
  </si>
  <si>
    <t>софинансирование  из местного бюджета  на капремонт и ремонт дворовых территорий многоквартирных домов (софин.местн.)</t>
  </si>
  <si>
    <t>в том числе: реализ. отдель. полномочий в области обращения с твердыми коммунальными отходами</t>
  </si>
  <si>
    <t>Е.Е.  Матушкина</t>
  </si>
  <si>
    <t>из  них: обеспечение 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</si>
  <si>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МЕЖБЮДЖЕТНЫЕ ТРАНСФЕРТЫ, ПЕРЕДАВАЕМЫЕ  БЮДЖЕТАМ  ПОСЕЛЕНИЙ  НА ОСУЩЕСТВЛЕНИЕ ЧАСТИ ПОЛНОМОЧИЙ ПО РЕШЕНИЮ ВОПРОСОВ МЕСТНОГО ЗНАЧЕНИЯ</t>
  </si>
  <si>
    <t>организация и проведение фестивалей, конкурсов, торжественных вечеров, концертов и иных зрелищных мероприятий</t>
  </si>
  <si>
    <t>Благоустройство  дворовых и общественных территорий (ср-ва  посел.)</t>
  </si>
  <si>
    <t>Уточненный план на 2020 год</t>
  </si>
  <si>
    <t>% исполне-ния к  годовому плану  на 2020 г.</t>
  </si>
  <si>
    <t>Отклонение от годового плана 2020 г ( +, - )</t>
  </si>
  <si>
    <t>% исполне-ния к  годовому плану  на  2020 г.</t>
  </si>
  <si>
    <t>% исполнения к  годовому плану  на 2020 г.</t>
  </si>
  <si>
    <t xml:space="preserve">Отклонение от годового плана 2020 г ( +, - )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</si>
  <si>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</si>
  <si>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</si>
  <si>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</si>
  <si>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</si>
  <si>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</si>
  <si>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</si>
  <si>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 том числе : на расходы по  содержанию СДК </t>
  </si>
  <si>
    <t>из  них: прочие выплаты по обязательствам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</si>
  <si>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(КР  дорог)</t>
  </si>
  <si>
    <t>СУБСИДИИ БЮДЖЕТАМ ГОРОДСКИХ ПОСЕЛЕНИЙ НА ПОДГОТОВКУ И ПРОВЕДЕНИЕ  ПРАЗДНОВАНИЯ НА ФЕДЕРАЛЬНОМ УРОВНЕ ПАМЯТНЫХ ДАТ СУБЪЕКТОВ РОССИЙСКОЙ  ФЕДЕРАЦИИ</t>
  </si>
  <si>
    <t>На  подготовку и проведение празднования на федеральном уровне памятных дат - всего</t>
  </si>
  <si>
    <t>в т. ч. Организация и обеспечение безопасности дорожного движения ( местн.)</t>
  </si>
  <si>
    <t>в т. ч. Организация и обеспечение безопасности дорожного движения (местн.)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</si>
  <si>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 (НА РЕАЛИЗ ПРОГ. СОВРЕМ. ГОРОД. СРЕДЫ)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</si>
  <si>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 ((НА ПОДГОТ. И ПРОВЕД. ПРАЗДНОВАНИЯ ПАМЯТНЫХ ДАТ)</t>
  </si>
  <si>
    <t>доходы от сдачи в аренду имущества, составляющего  казну  сельских поселений (за исключением земельных участков)</t>
  </si>
  <si>
    <t xml:space="preserve">Реализация комплекса мероприятий  по благоустройству  дворовых территрий и тротуаров (ср-ва  респ. бюдж.)                     </t>
  </si>
  <si>
    <t xml:space="preserve">          Благоустройство сельских территорий - всего       </t>
  </si>
  <si>
    <t xml:space="preserve">           в том числе за счет  средств фед. бюдж.             </t>
  </si>
  <si>
    <t xml:space="preserve">           в том числе за счет  средств  респ. бюдж.             </t>
  </si>
  <si>
    <t xml:space="preserve">          в том числе за счет  средств  бюдж.  посел.      </t>
  </si>
  <si>
    <t xml:space="preserve">      в том числе за счет  средств  от насел. </t>
  </si>
  <si>
    <t>СУБСИДИИ БЮДЖЕТАМ СЕЛЬСКИХ ПОСЕЛЕНИЙ НА ОБЕСПЕЧЕНИЕ КОМПЛЕКСНОГО РАЗВИТИЯ СЕЛЬСКИХ ТЕРРИТОРИЙ</t>
  </si>
  <si>
    <t>в том числе субсидии на реализацию комплекса мероприятий по благоустройству дворовых территорий и тротуаров</t>
  </si>
  <si>
    <t>в том числе субсидии на реализацию комплекса мероприятий по благоустройству дворовых территорий и тротуаров( раздел  "ЖКХ")</t>
  </si>
  <si>
    <t>в т. ч. проектирование и строительство автомобильных дорог (местн.)</t>
  </si>
  <si>
    <t>Профицит, дефицит (-)</t>
  </si>
  <si>
    <t>Справочно: Дорожный фонд</t>
  </si>
  <si>
    <t>Доходы</t>
  </si>
  <si>
    <t>Расходы</t>
  </si>
  <si>
    <t>в том числе субсидии на реализацию проектов развития общественной инфраструктуры, основанных на местных инициативах (р. 0409)</t>
  </si>
  <si>
    <t xml:space="preserve">из них: по ведению учета граждан (ср-ва респ. бюдж.) </t>
  </si>
  <si>
    <t xml:space="preserve">Реализация комплекса мероприятий  по благоустройству  дворовых территрий и тротуаров- всего                 </t>
  </si>
  <si>
    <t xml:space="preserve">Реализация комплекса мероприятий  по благоустройству  дворовых территрий и тротуаров (ср-ва  посел.)                     </t>
  </si>
  <si>
    <t xml:space="preserve">Реализация комплекса мероприятий  по благоустройству  дворовых территрий и тротуаров (ср-ва  насел.)                     </t>
  </si>
  <si>
    <t>Анализ  исполнения бюджета Андреево-Базарского сельского поселения за  июнь  2020 года</t>
  </si>
  <si>
    <t>Фактическое исполнение за  июнь  2020 года</t>
  </si>
  <si>
    <t>Анализ исполнения бюджета Аттиковского сельского поселения за июнь  2020 года</t>
  </si>
  <si>
    <t>Фактическое исполнение за  июнь 2020 года</t>
  </si>
  <si>
    <t>Анализ исполнения бюджета  Байгуловского сельского поселения за июнь 2020 года</t>
  </si>
  <si>
    <t>Анализ исполнения бюджета  Еметкинского сельского поселения за  июнь  2020 года</t>
  </si>
  <si>
    <t>Фактическое исполнение за июнь  2020 года</t>
  </si>
  <si>
    <t>Анализ исполнения бюджета  Карамышевского сельского поселения за июнь  2020 года</t>
  </si>
  <si>
    <t>Анализ исполнения бюджета  Карачевского сельского поселения за июнь  2020 года</t>
  </si>
  <si>
    <t>Анализ исполнения бюджета  Козловского  городского  поселения  за  июнь  2020 года</t>
  </si>
  <si>
    <t>Анализ исполнения бюджета  Солдыбаевского сельского поселения за  июнь 2020 года</t>
  </si>
  <si>
    <t>Анализ исполнения бюджета  Тюрлеминского сельского поселения за июнь  2020 года</t>
  </si>
  <si>
    <t>Фактическое исполнение за   июнь  2020 года</t>
  </si>
  <si>
    <t>Анализ исполнения бюджета  Янгильдинского сельского поселения за июнь  2020 года</t>
  </si>
  <si>
    <t>Анализ   исполнения   бюджетов   поселений   за  июнь  2020 года.</t>
  </si>
  <si>
    <t>Фактическое исполнение за  июнь   2020 года</t>
  </si>
  <si>
    <t>из них: капитальный и текущий ремонт объектов водоснабжения</t>
  </si>
  <si>
    <t xml:space="preserve">    из них:        на реализацию проектов развития общественной инфраструктуры, основанных на местных инициативах - всего       </t>
  </si>
  <si>
    <t>в  том числе : реконструкция (реставрация) объектов культурного населедия (ПСД по реконстр. Музея)</t>
  </si>
  <si>
    <t xml:space="preserve">    Организация и проведение официальных физкультурных мероприятий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</si>
</sst>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60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0"/>
      <color indexed="18"/>
      <name val="Arial Cyr"/>
      <family val="2"/>
    </font>
    <font>
      <sz val="11"/>
      <name val="Times New Roman"/>
      <family val="1"/>
    </font>
    <font>
      <sz val="8"/>
      <color indexed="8"/>
      <name val="Arial Cyr"/>
      <family val="0"/>
    </font>
    <font>
      <sz val="10"/>
      <color indexed="8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" fontId="15" fillId="20" borderId="1">
      <alignment horizontal="right" vertical="top" shrinkToFit="1"/>
      <protection/>
    </xf>
    <xf numFmtId="4" fontId="15" fillId="0" borderId="1">
      <alignment horizontal="right" vertical="top" shrinkToFit="1"/>
      <protection/>
    </xf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2" applyNumberFormat="0" applyAlignment="0" applyProtection="0"/>
    <xf numFmtId="0" fontId="46" fillId="28" borderId="3" applyNumberFormat="0" applyAlignment="0" applyProtection="0"/>
    <xf numFmtId="0" fontId="4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9" borderId="8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311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0" fillId="0" borderId="11" xfId="61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 wrapText="1"/>
    </xf>
    <xf numFmtId="41" fontId="0" fillId="0" borderId="11" xfId="61" applyFont="1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1" fontId="0" fillId="0" borderId="13" xfId="61" applyNumberFormat="1" applyFont="1" applyFill="1" applyBorder="1" applyAlignment="1">
      <alignment horizontal="center" wrapText="1"/>
    </xf>
    <xf numFmtId="41" fontId="0" fillId="0" borderId="13" xfId="61" applyFont="1" applyFill="1" applyBorder="1" applyAlignment="1">
      <alignment horizontal="right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41" fontId="6" fillId="0" borderId="0" xfId="61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2" fontId="0" fillId="0" borderId="11" xfId="0" applyNumberFormat="1" applyFill="1" applyBorder="1" applyAlignment="1">
      <alignment horizontal="right" wrapText="1"/>
    </xf>
    <xf numFmtId="2" fontId="0" fillId="0" borderId="11" xfId="0" applyNumberForma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1" fontId="0" fillId="0" borderId="11" xfId="0" applyNumberForma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41" fontId="5" fillId="0" borderId="15" xfId="61" applyFont="1" applyFill="1" applyBorder="1" applyAlignment="1">
      <alignment horizontal="center" vertical="center" wrapText="1"/>
    </xf>
    <xf numFmtId="1" fontId="0" fillId="0" borderId="16" xfId="61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wrapText="1"/>
    </xf>
    <xf numFmtId="41" fontId="5" fillId="0" borderId="18" xfId="6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1" fontId="10" fillId="0" borderId="0" xfId="61" applyFont="1" applyFill="1" applyAlignment="1">
      <alignment/>
    </xf>
    <xf numFmtId="0" fontId="10" fillId="0" borderId="12" xfId="0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right" wrapText="1"/>
    </xf>
    <xf numFmtId="2" fontId="2" fillId="0" borderId="11" xfId="61" applyNumberFormat="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2" fontId="10" fillId="0" borderId="11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0" fontId="0" fillId="0" borderId="12" xfId="0" applyFont="1" applyFill="1" applyBorder="1" applyAlignment="1">
      <alignment horizontal="center" vertical="center" wrapText="1"/>
    </xf>
    <xf numFmtId="1" fontId="0" fillId="0" borderId="11" xfId="61" applyNumberFormat="1" applyFont="1" applyFill="1" applyBorder="1" applyAlignment="1">
      <alignment horizontal="center" wrapText="1"/>
    </xf>
    <xf numFmtId="1" fontId="0" fillId="0" borderId="11" xfId="0" applyNumberFormat="1" applyFont="1" applyFill="1" applyBorder="1" applyAlignment="1">
      <alignment horizontal="center" wrapText="1"/>
    </xf>
    <xf numFmtId="1" fontId="0" fillId="0" borderId="13" xfId="61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1" fontId="0" fillId="0" borderId="11" xfId="61" applyFont="1" applyFill="1" applyBorder="1" applyAlignment="1">
      <alignment wrapText="1"/>
    </xf>
    <xf numFmtId="41" fontId="0" fillId="0" borderId="13" xfId="6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0" borderId="12" xfId="0" applyFont="1" applyFill="1" applyBorder="1" applyAlignment="1">
      <alignment wrapText="1"/>
    </xf>
    <xf numFmtId="41" fontId="4" fillId="0" borderId="11" xfId="6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165" fontId="4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2" fontId="11" fillId="0" borderId="11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2" fontId="0" fillId="0" borderId="20" xfId="0" applyNumberFormat="1" applyFont="1" applyFill="1" applyBorder="1" applyAlignment="1">
      <alignment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left"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2" fontId="0" fillId="0" borderId="16" xfId="0" applyNumberFormat="1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wrapText="1"/>
    </xf>
    <xf numFmtId="2" fontId="0" fillId="0" borderId="22" xfId="0" applyNumberFormat="1" applyFont="1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7" fillId="0" borderId="19" xfId="0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2" fontId="2" fillId="0" borderId="20" xfId="61" applyNumberFormat="1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2" fontId="0" fillId="0" borderId="20" xfId="0" applyNumberForma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2" fontId="0" fillId="0" borderId="16" xfId="0" applyNumberFormat="1" applyFill="1" applyBorder="1" applyAlignment="1">
      <alignment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10" fillId="0" borderId="21" xfId="0" applyFont="1" applyFill="1" applyBorder="1" applyAlignment="1">
      <alignment wrapText="1"/>
    </xf>
    <xf numFmtId="2" fontId="0" fillId="0" borderId="22" xfId="0" applyNumberForma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21" xfId="0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0" fontId="0" fillId="0" borderId="28" xfId="0" applyFill="1" applyBorder="1" applyAlignment="1">
      <alignment wrapText="1"/>
    </xf>
    <xf numFmtId="2" fontId="0" fillId="0" borderId="26" xfId="0" applyNumberFormat="1" applyFill="1" applyBorder="1" applyAlignment="1">
      <alignment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0" fontId="3" fillId="0" borderId="28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0" applyNumberFormat="1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13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2" fontId="4" fillId="0" borderId="13" xfId="61" applyNumberFormat="1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left" wrapText="1"/>
    </xf>
    <xf numFmtId="0" fontId="0" fillId="0" borderId="30" xfId="0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41" fontId="0" fillId="0" borderId="0" xfId="61" applyFont="1" applyFill="1" applyAlignment="1">
      <alignment wrapText="1"/>
    </xf>
    <xf numFmtId="41" fontId="0" fillId="0" borderId="0" xfId="61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horizontal="right" wrapText="1"/>
    </xf>
    <xf numFmtId="2" fontId="0" fillId="0" borderId="26" xfId="61" applyNumberFormat="1" applyFont="1" applyFill="1" applyBorder="1" applyAlignment="1">
      <alignment horizontal="right" wrapText="1"/>
    </xf>
    <xf numFmtId="2" fontId="0" fillId="0" borderId="26" xfId="0" applyNumberFormat="1" applyFill="1" applyBorder="1" applyAlignment="1">
      <alignment horizontal="right" wrapText="1"/>
    </xf>
    <xf numFmtId="2" fontId="0" fillId="0" borderId="31" xfId="0" applyNumberFormat="1" applyFill="1" applyBorder="1" applyAlignment="1">
      <alignment wrapText="1"/>
    </xf>
    <xf numFmtId="164" fontId="14" fillId="0" borderId="11" xfId="57" applyNumberFormat="1" applyFont="1" applyFill="1" applyBorder="1" applyAlignment="1">
      <alignment wrapText="1"/>
    </xf>
    <xf numFmtId="4" fontId="14" fillId="0" borderId="13" xfId="0" applyNumberFormat="1" applyFont="1" applyFill="1" applyBorder="1" applyAlignment="1">
      <alignment wrapText="1"/>
    </xf>
    <xf numFmtId="4" fontId="14" fillId="0" borderId="11" xfId="0" applyNumberFormat="1" applyFont="1" applyFill="1" applyBorder="1" applyAlignment="1">
      <alignment horizontal="right" wrapText="1"/>
    </xf>
    <xf numFmtId="2" fontId="4" fillId="0" borderId="16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2" fontId="4" fillId="0" borderId="11" xfId="61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2" fontId="0" fillId="0" borderId="33" xfId="61" applyNumberFormat="1" applyFont="1" applyFill="1" applyBorder="1" applyAlignment="1">
      <alignment horizontal="right" wrapText="1"/>
    </xf>
    <xf numFmtId="0" fontId="14" fillId="0" borderId="12" xfId="0" applyFont="1" applyFill="1" applyBorder="1" applyAlignment="1">
      <alignment wrapText="1"/>
    </xf>
    <xf numFmtId="0" fontId="14" fillId="0" borderId="19" xfId="0" applyFont="1" applyFill="1" applyBorder="1" applyAlignment="1">
      <alignment wrapText="1"/>
    </xf>
    <xf numFmtId="2" fontId="0" fillId="0" borderId="31" xfId="0" applyNumberFormat="1" applyFont="1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shrinkToFit="1"/>
    </xf>
    <xf numFmtId="2" fontId="0" fillId="0" borderId="11" xfId="61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20" xfId="0" applyNumberFormat="1" applyFont="1" applyFill="1" applyBorder="1" applyAlignment="1">
      <alignment vertical="center" wrapText="1"/>
    </xf>
    <xf numFmtId="2" fontId="4" fillId="0" borderId="20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4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" fillId="0" borderId="20" xfId="0" applyNumberFormat="1" applyFont="1" applyFill="1" applyBorder="1" applyAlignment="1">
      <alignment horizontal="right" vertical="center" wrapText="1"/>
    </xf>
    <xf numFmtId="2" fontId="2" fillId="0" borderId="20" xfId="61" applyNumberFormat="1" applyFont="1" applyFill="1" applyBorder="1" applyAlignment="1">
      <alignment vertical="center" wrapText="1"/>
    </xf>
    <xf numFmtId="2" fontId="13" fillId="0" borderId="11" xfId="61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4" fontId="16" fillId="0" borderId="1" xfId="34" applyFont="1" applyAlignment="1" applyProtection="1">
      <alignment horizontal="right" shrinkToFit="1"/>
      <protection/>
    </xf>
    <xf numFmtId="2" fontId="16" fillId="0" borderId="1" xfId="33" applyNumberFormat="1" applyFont="1" applyFill="1" applyAlignment="1" applyProtection="1">
      <alignment horizontal="right" vertical="center" shrinkToFit="1"/>
      <protection/>
    </xf>
    <xf numFmtId="4" fontId="16" fillId="0" borderId="1" xfId="33" applyFont="1" applyFill="1" applyAlignment="1" applyProtection="1">
      <alignment horizontal="right" vertical="center" shrinkToFit="1"/>
      <protection/>
    </xf>
    <xf numFmtId="4" fontId="16" fillId="0" borderId="1" xfId="33" applyFont="1" applyFill="1" applyProtection="1">
      <alignment horizontal="right" vertical="top" shrinkToFit="1"/>
      <protection/>
    </xf>
    <xf numFmtId="4" fontId="16" fillId="0" borderId="1" xfId="34" applyFont="1" applyFill="1" applyAlignment="1" applyProtection="1">
      <alignment horizontal="right" vertical="center" shrinkToFit="1"/>
      <protection/>
    </xf>
    <xf numFmtId="4" fontId="16" fillId="0" borderId="1" xfId="33" applyFont="1" applyFill="1" applyAlignment="1" applyProtection="1">
      <alignment horizontal="right" vertical="center" shrinkToFit="1"/>
      <protection/>
    </xf>
    <xf numFmtId="4" fontId="16" fillId="0" borderId="1" xfId="33" applyFont="1" applyFill="1" applyAlignment="1" applyProtection="1">
      <alignment horizontal="right" shrinkToFit="1"/>
      <protection/>
    </xf>
    <xf numFmtId="4" fontId="16" fillId="0" borderId="1" xfId="33" applyFont="1" applyFill="1" applyAlignment="1" applyProtection="1">
      <alignment horizontal="right" shrinkToFit="1"/>
      <protection/>
    </xf>
    <xf numFmtId="2" fontId="17" fillId="34" borderId="11" xfId="0" applyNumberFormat="1" applyFont="1" applyFill="1" applyBorder="1" applyAlignment="1">
      <alignment wrapText="1"/>
    </xf>
    <xf numFmtId="4" fontId="17" fillId="0" borderId="11" xfId="61" applyNumberFormat="1" applyFont="1" applyFill="1" applyBorder="1" applyAlignment="1">
      <alignment horizontal="right" wrapText="1"/>
    </xf>
    <xf numFmtId="2" fontId="16" fillId="0" borderId="1" xfId="33" applyNumberFormat="1" applyFont="1" applyFill="1" applyAlignment="1" applyProtection="1">
      <alignment horizontal="right" shrinkToFit="1"/>
      <protection/>
    </xf>
    <xf numFmtId="2" fontId="0" fillId="0" borderId="11" xfId="0" applyNumberFormat="1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wrapText="1"/>
    </xf>
    <xf numFmtId="2" fontId="0" fillId="0" borderId="31" xfId="61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 wrapText="1"/>
    </xf>
    <xf numFmtId="2" fontId="0" fillId="0" borderId="14" xfId="0" applyNumberFormat="1" applyFill="1" applyBorder="1" applyAlignment="1">
      <alignment wrapText="1"/>
    </xf>
    <xf numFmtId="2" fontId="0" fillId="0" borderId="14" xfId="0" applyNumberFormat="1" applyFont="1" applyFill="1" applyBorder="1" applyAlignment="1">
      <alignment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41" fontId="18" fillId="0" borderId="15" xfId="61" applyFont="1" applyFill="1" applyBorder="1" applyAlignment="1">
      <alignment horizontal="center" vertical="center" wrapText="1"/>
    </xf>
    <xf numFmtId="41" fontId="18" fillId="0" borderId="18" xfId="6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41" fontId="19" fillId="0" borderId="0" xfId="61" applyFont="1" applyFill="1" applyAlignment="1">
      <alignment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" fontId="19" fillId="0" borderId="11" xfId="61" applyNumberFormat="1" applyFont="1" applyFill="1" applyBorder="1" applyAlignment="1">
      <alignment horizontal="center" wrapText="1"/>
    </xf>
    <xf numFmtId="1" fontId="19" fillId="0" borderId="11" xfId="0" applyNumberFormat="1" applyFont="1" applyFill="1" applyBorder="1" applyAlignment="1">
      <alignment horizontal="center" wrapText="1"/>
    </xf>
    <xf numFmtId="1" fontId="19" fillId="0" borderId="13" xfId="61" applyNumberFormat="1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right" wrapText="1"/>
    </xf>
    <xf numFmtId="0" fontId="21" fillId="0" borderId="11" xfId="0" applyFont="1" applyFill="1" applyBorder="1" applyAlignment="1">
      <alignment horizontal="right" wrapText="1"/>
    </xf>
    <xf numFmtId="41" fontId="19" fillId="0" borderId="11" xfId="61" applyFont="1" applyFill="1" applyBorder="1" applyAlignment="1">
      <alignment wrapText="1"/>
    </xf>
    <xf numFmtId="2" fontId="19" fillId="0" borderId="11" xfId="0" applyNumberFormat="1" applyFont="1" applyFill="1" applyBorder="1" applyAlignment="1">
      <alignment wrapText="1"/>
    </xf>
    <xf numFmtId="41" fontId="19" fillId="0" borderId="13" xfId="61" applyFont="1" applyFill="1" applyBorder="1" applyAlignment="1">
      <alignment horizontal="right" wrapText="1"/>
    </xf>
    <xf numFmtId="0" fontId="19" fillId="0" borderId="12" xfId="0" applyFont="1" applyFill="1" applyBorder="1" applyAlignment="1">
      <alignment horizontal="left" wrapText="1"/>
    </xf>
    <xf numFmtId="4" fontId="19" fillId="0" borderId="11" xfId="0" applyNumberFormat="1" applyFont="1" applyFill="1" applyBorder="1" applyAlignment="1">
      <alignment horizontal="right" wrapText="1"/>
    </xf>
    <xf numFmtId="2" fontId="19" fillId="0" borderId="11" xfId="57" applyNumberFormat="1" applyFont="1" applyFill="1" applyBorder="1" applyAlignment="1">
      <alignment wrapText="1"/>
    </xf>
    <xf numFmtId="2" fontId="19" fillId="0" borderId="13" xfId="61" applyNumberFormat="1" applyFont="1" applyFill="1" applyBorder="1" applyAlignment="1">
      <alignment horizontal="right" wrapText="1"/>
    </xf>
    <xf numFmtId="0" fontId="19" fillId="0" borderId="12" xfId="0" applyFont="1" applyFill="1" applyBorder="1" applyAlignment="1">
      <alignment wrapText="1"/>
    </xf>
    <xf numFmtId="4" fontId="19" fillId="0" borderId="11" xfId="0" applyNumberFormat="1" applyFont="1" applyFill="1" applyBorder="1" applyAlignment="1">
      <alignment wrapText="1"/>
    </xf>
    <xf numFmtId="4" fontId="19" fillId="0" borderId="11" xfId="61" applyNumberFormat="1" applyFont="1" applyFill="1" applyBorder="1" applyAlignment="1">
      <alignment horizontal="right" wrapText="1"/>
    </xf>
    <xf numFmtId="0" fontId="18" fillId="0" borderId="12" xfId="0" applyFont="1" applyFill="1" applyBorder="1" applyAlignment="1">
      <alignment wrapText="1"/>
    </xf>
    <xf numFmtId="4" fontId="18" fillId="0" borderId="11" xfId="0" applyNumberFormat="1" applyFont="1" applyFill="1" applyBorder="1" applyAlignment="1">
      <alignment horizontal="right" wrapText="1"/>
    </xf>
    <xf numFmtId="2" fontId="18" fillId="0" borderId="11" xfId="57" applyNumberFormat="1" applyFont="1" applyFill="1" applyBorder="1" applyAlignment="1">
      <alignment wrapText="1"/>
    </xf>
    <xf numFmtId="2" fontId="18" fillId="0" borderId="13" xfId="61" applyNumberFormat="1" applyFont="1" applyFill="1" applyBorder="1" applyAlignment="1">
      <alignment horizontal="right" wrapText="1"/>
    </xf>
    <xf numFmtId="0" fontId="18" fillId="0" borderId="12" xfId="0" applyFont="1" applyFill="1" applyBorder="1" applyAlignment="1">
      <alignment horizontal="center" wrapText="1"/>
    </xf>
    <xf numFmtId="4" fontId="19" fillId="34" borderId="11" xfId="0" applyNumberFormat="1" applyFont="1" applyFill="1" applyBorder="1" applyAlignment="1">
      <alignment wrapText="1"/>
    </xf>
    <xf numFmtId="164" fontId="19" fillId="0" borderId="11" xfId="57" applyNumberFormat="1" applyFont="1" applyFill="1" applyBorder="1" applyAlignment="1">
      <alignment wrapText="1"/>
    </xf>
    <xf numFmtId="4" fontId="19" fillId="0" borderId="13" xfId="0" applyNumberFormat="1" applyFont="1" applyFill="1" applyBorder="1" applyAlignment="1">
      <alignment wrapText="1"/>
    </xf>
    <xf numFmtId="0" fontId="22" fillId="0" borderId="12" xfId="0" applyFont="1" applyFill="1" applyBorder="1" applyAlignment="1">
      <alignment wrapText="1"/>
    </xf>
    <xf numFmtId="4" fontId="22" fillId="0" borderId="11" xfId="0" applyNumberFormat="1" applyFont="1" applyFill="1" applyBorder="1" applyAlignment="1">
      <alignment wrapText="1"/>
    </xf>
    <xf numFmtId="2" fontId="22" fillId="0" borderId="11" xfId="57" applyNumberFormat="1" applyFont="1" applyFill="1" applyBorder="1" applyAlignment="1">
      <alignment wrapText="1"/>
    </xf>
    <xf numFmtId="2" fontId="22" fillId="0" borderId="13" xfId="61" applyNumberFormat="1" applyFont="1" applyFill="1" applyBorder="1" applyAlignment="1">
      <alignment horizontal="right" wrapText="1"/>
    </xf>
    <xf numFmtId="0" fontId="23" fillId="0" borderId="12" xfId="0" applyFont="1" applyFill="1" applyBorder="1" applyAlignment="1">
      <alignment horizontal="right" wrapText="1"/>
    </xf>
    <xf numFmtId="4" fontId="21" fillId="0" borderId="11" xfId="0" applyNumberFormat="1" applyFont="1" applyFill="1" applyBorder="1" applyAlignment="1">
      <alignment horizontal="right" wrapText="1"/>
    </xf>
    <xf numFmtId="4" fontId="24" fillId="0" borderId="11" xfId="61" applyNumberFormat="1" applyFont="1" applyFill="1" applyBorder="1" applyAlignment="1">
      <alignment wrapText="1"/>
    </xf>
    <xf numFmtId="0" fontId="19" fillId="0" borderId="19" xfId="0" applyFont="1" applyFill="1" applyBorder="1" applyAlignment="1">
      <alignment wrapText="1"/>
    </xf>
    <xf numFmtId="0" fontId="25" fillId="0" borderId="21" xfId="0" applyFont="1" applyFill="1" applyBorder="1" applyAlignment="1">
      <alignment wrapText="1"/>
    </xf>
    <xf numFmtId="0" fontId="19" fillId="0" borderId="21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25" fillId="0" borderId="25" xfId="0" applyFont="1" applyFill="1" applyBorder="1" applyAlignment="1">
      <alignment wrapText="1"/>
    </xf>
    <xf numFmtId="41" fontId="0" fillId="0" borderId="11" xfId="61" applyFill="1" applyBorder="1" applyAlignment="1">
      <alignment wrapText="1"/>
    </xf>
    <xf numFmtId="41" fontId="0" fillId="0" borderId="11" xfId="61" applyFill="1" applyBorder="1" applyAlignment="1">
      <alignment horizontal="right" wrapText="1"/>
    </xf>
    <xf numFmtId="0" fontId="18" fillId="0" borderId="11" xfId="0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2" fontId="18" fillId="0" borderId="11" xfId="61" applyNumberFormat="1" applyFont="1" applyFill="1" applyBorder="1" applyAlignment="1">
      <alignment wrapText="1"/>
    </xf>
    <xf numFmtId="41" fontId="18" fillId="0" borderId="11" xfId="61" applyFont="1" applyFill="1" applyBorder="1" applyAlignment="1">
      <alignment horizontal="right" wrapText="1"/>
    </xf>
    <xf numFmtId="2" fontId="0" fillId="0" borderId="34" xfId="0" applyNumberFormat="1" applyFont="1" applyFill="1" applyBorder="1" applyAlignment="1">
      <alignment wrapText="1"/>
    </xf>
    <xf numFmtId="2" fontId="0" fillId="0" borderId="35" xfId="61" applyNumberFormat="1" applyFont="1" applyFill="1" applyBorder="1" applyAlignment="1">
      <alignment horizontal="right" wrapText="1"/>
    </xf>
    <xf numFmtId="2" fontId="9" fillId="0" borderId="0" xfId="0" applyNumberFormat="1" applyFont="1" applyFill="1" applyAlignment="1">
      <alignment horizontal="center" wrapText="1"/>
    </xf>
    <xf numFmtId="41" fontId="5" fillId="0" borderId="0" xfId="61" applyFont="1" applyFill="1" applyAlignment="1">
      <alignment horizontal="center"/>
    </xf>
    <xf numFmtId="41" fontId="6" fillId="0" borderId="0" xfId="61" applyFont="1" applyFill="1" applyAlignment="1">
      <alignment horizontal="center"/>
    </xf>
    <xf numFmtId="2" fontId="9" fillId="0" borderId="0" xfId="61" applyNumberFormat="1" applyFont="1" applyFill="1" applyAlignment="1">
      <alignment horizontal="center" wrapText="1"/>
    </xf>
    <xf numFmtId="41" fontId="18" fillId="0" borderId="0" xfId="6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3"/>
  <sheetViews>
    <sheetView zoomScaleSheetLayoutView="100" workbookViewId="0" topLeftCell="A102">
      <selection activeCell="C47" sqref="C47"/>
    </sheetView>
  </sheetViews>
  <sheetFormatPr defaultColWidth="9.125" defaultRowHeight="12.75"/>
  <cols>
    <col min="1" max="1" width="116.375" style="4" customWidth="1"/>
    <col min="2" max="2" width="12.50390625" style="4" customWidth="1"/>
    <col min="3" max="3" width="16.875" style="5" customWidth="1"/>
    <col min="4" max="4" width="13.50390625" style="4" customWidth="1"/>
    <col min="5" max="5" width="14.50390625" style="1" customWidth="1"/>
    <col min="6" max="6" width="14.00390625" style="4" customWidth="1"/>
    <col min="7" max="9" width="9.125" style="4" customWidth="1"/>
    <col min="10" max="10" width="2.125" style="4" customWidth="1"/>
    <col min="11" max="16384" width="9.125" style="4" customWidth="1"/>
  </cols>
  <sheetData>
    <row r="1" spans="1:10" s="21" customFormat="1" ht="17.25">
      <c r="A1" s="307" t="s">
        <v>297</v>
      </c>
      <c r="B1" s="307"/>
      <c r="C1" s="307"/>
      <c r="D1" s="307"/>
      <c r="E1" s="307"/>
      <c r="F1" s="20"/>
      <c r="G1" s="20"/>
      <c r="H1" s="20"/>
      <c r="I1" s="20"/>
      <c r="J1" s="20"/>
    </row>
    <row r="2" spans="1:5" ht="13.5" thickBot="1">
      <c r="A2" s="37"/>
      <c r="B2" s="37"/>
      <c r="C2" s="38"/>
      <c r="D2" s="37"/>
      <c r="E2" s="37" t="s">
        <v>0</v>
      </c>
    </row>
    <row r="3" spans="1:5" s="23" customFormat="1" ht="94.5" customHeight="1">
      <c r="A3" s="34" t="s">
        <v>1</v>
      </c>
      <c r="B3" s="19" t="s">
        <v>256</v>
      </c>
      <c r="C3" s="32" t="s">
        <v>298</v>
      </c>
      <c r="D3" s="19" t="s">
        <v>257</v>
      </c>
      <c r="E3" s="36" t="s">
        <v>258</v>
      </c>
    </row>
    <row r="4" spans="1:5" s="56" customFormat="1" ht="10.5" customHeight="1">
      <c r="A4" s="52">
        <v>1</v>
      </c>
      <c r="B4" s="251">
        <v>2</v>
      </c>
      <c r="C4" s="53">
        <v>3</v>
      </c>
      <c r="D4" s="54">
        <v>4</v>
      </c>
      <c r="E4" s="55">
        <v>5</v>
      </c>
    </row>
    <row r="5" spans="1:5" s="59" customFormat="1" ht="12.75">
      <c r="A5" s="22" t="s">
        <v>2</v>
      </c>
      <c r="B5" s="11"/>
      <c r="C5" s="57"/>
      <c r="D5" s="31"/>
      <c r="E5" s="58"/>
    </row>
    <row r="6" spans="1:5" s="9" customFormat="1" ht="12.75" customHeight="1" hidden="1">
      <c r="A6" s="60" t="s">
        <v>25</v>
      </c>
      <c r="B6" s="61"/>
      <c r="C6" s="61" t="e">
        <f>SUM(C7,C11,C16,C19,#REF!,#REF!,C10,)</f>
        <v>#REF!</v>
      </c>
      <c r="D6" s="62" t="e">
        <f>IF(#REF!=0,"   ",C6/#REF!)</f>
        <v>#REF!</v>
      </c>
      <c r="E6" s="63" t="e">
        <f>C6-#REF!</f>
        <v>#REF!</v>
      </c>
    </row>
    <row r="7" spans="1:5" s="67" customFormat="1" ht="12.75">
      <c r="A7" s="64" t="s">
        <v>45</v>
      </c>
      <c r="B7" s="203">
        <f>SUM(B9)</f>
        <v>143600</v>
      </c>
      <c r="C7" s="203">
        <f>C9</f>
        <v>55029.1</v>
      </c>
      <c r="D7" s="65">
        <f>IF(B7=0,"   ",C7/B7*100)</f>
        <v>38.321100278551526</v>
      </c>
      <c r="E7" s="66">
        <f>C7-B7</f>
        <v>-88570.9</v>
      </c>
    </row>
    <row r="8" spans="1:5" s="59" customFormat="1" ht="12.75" customHeight="1" hidden="1">
      <c r="A8" s="41" t="s">
        <v>3</v>
      </c>
      <c r="B8" s="204">
        <v>387940</v>
      </c>
      <c r="C8" s="205">
        <v>217766</v>
      </c>
      <c r="D8" s="65" t="e">
        <f>IF(#REF!=0,"   ",C8/#REF!)</f>
        <v>#REF!</v>
      </c>
      <c r="E8" s="66" t="e">
        <f>C8-#REF!</f>
        <v>#REF!</v>
      </c>
    </row>
    <row r="9" spans="1:5" s="59" customFormat="1" ht="12.75">
      <c r="A9" s="41" t="s">
        <v>112</v>
      </c>
      <c r="B9" s="204">
        <v>143600</v>
      </c>
      <c r="C9" s="238">
        <v>55029.1</v>
      </c>
      <c r="D9" s="65">
        <f>IF(B9=0,"   ",C9/B9*100)</f>
        <v>38.321100278551526</v>
      </c>
      <c r="E9" s="66">
        <f>C9-B9</f>
        <v>-88570.9</v>
      </c>
    </row>
    <row r="10" spans="1:5" s="59" customFormat="1" ht="12.75" customHeight="1" hidden="1">
      <c r="A10" s="41" t="s">
        <v>24</v>
      </c>
      <c r="B10" s="204"/>
      <c r="C10" s="205">
        <v>175</v>
      </c>
      <c r="D10" s="65"/>
      <c r="E10" s="66"/>
    </row>
    <row r="11" spans="1:5" s="67" customFormat="1" ht="12.75" customHeight="1" hidden="1">
      <c r="A11" s="41" t="s">
        <v>4</v>
      </c>
      <c r="B11" s="204">
        <f>SUM(B12:B13)</f>
        <v>1848003</v>
      </c>
      <c r="C11" s="204">
        <f>SUM(C12:C13)</f>
        <v>1704024</v>
      </c>
      <c r="D11" s="65" t="e">
        <f>IF(#REF!=0,"   ",C11/#REF!)</f>
        <v>#REF!</v>
      </c>
      <c r="E11" s="66" t="e">
        <f>C11-#REF!</f>
        <v>#REF!</v>
      </c>
    </row>
    <row r="12" spans="1:5" s="59" customFormat="1" ht="12.75" customHeight="1" hidden="1">
      <c r="A12" s="41" t="s">
        <v>5</v>
      </c>
      <c r="B12" s="204">
        <v>17853</v>
      </c>
      <c r="C12" s="205">
        <v>13730</v>
      </c>
      <c r="D12" s="65" t="e">
        <f>IF(#REF!=0,"   ",C12/#REF!)</f>
        <v>#REF!</v>
      </c>
      <c r="E12" s="66" t="e">
        <f>C12-#REF!</f>
        <v>#REF!</v>
      </c>
    </row>
    <row r="13" spans="1:5" s="59" customFormat="1" ht="12.75" customHeight="1" hidden="1">
      <c r="A13" s="41" t="s">
        <v>6</v>
      </c>
      <c r="B13" s="204">
        <v>1830150</v>
      </c>
      <c r="C13" s="205">
        <v>1690294</v>
      </c>
      <c r="D13" s="65" t="e">
        <f>IF(#REF!=0,"   ",C13/#REF!)</f>
        <v>#REF!</v>
      </c>
      <c r="E13" s="66" t="e">
        <f>C13-#REF!</f>
        <v>#REF!</v>
      </c>
    </row>
    <row r="14" spans="1:5" s="59" customFormat="1" ht="12.75" customHeight="1">
      <c r="A14" s="64" t="s">
        <v>137</v>
      </c>
      <c r="B14" s="203">
        <f>SUM(B15)</f>
        <v>597200</v>
      </c>
      <c r="C14" s="203">
        <f>SUM(C15)</f>
        <v>258274.06</v>
      </c>
      <c r="D14" s="65">
        <f>IF(B14=0,"   ",C14/B14*100)</f>
        <v>43.24749832551909</v>
      </c>
      <c r="E14" s="66">
        <f>C14-B14</f>
        <v>-338925.94</v>
      </c>
    </row>
    <row r="15" spans="1:5" s="59" customFormat="1" ht="15.75" customHeight="1">
      <c r="A15" s="41" t="s">
        <v>138</v>
      </c>
      <c r="B15" s="204">
        <v>597200</v>
      </c>
      <c r="C15" s="238">
        <v>258274.06</v>
      </c>
      <c r="D15" s="65">
        <f>IF(B15=0,"   ",C15/B15*100)</f>
        <v>43.24749832551909</v>
      </c>
      <c r="E15" s="66">
        <f>C15-B15</f>
        <v>-338925.94</v>
      </c>
    </row>
    <row r="16" spans="1:5" s="67" customFormat="1" ht="17.25" customHeight="1">
      <c r="A16" s="41" t="s">
        <v>7</v>
      </c>
      <c r="B16" s="203">
        <f>SUM(B18)</f>
        <v>9900</v>
      </c>
      <c r="C16" s="204">
        <f>SUM(C18:C18)</f>
        <v>26546.58</v>
      </c>
      <c r="D16" s="65">
        <f>IF(B16=0,"   ",C16/B16*100)</f>
        <v>268.1472727272727</v>
      </c>
      <c r="E16" s="66">
        <f>C16-B16</f>
        <v>16646.58</v>
      </c>
    </row>
    <row r="17" spans="1:5" s="59" customFormat="1" ht="12.75" customHeight="1" hidden="1">
      <c r="A17" s="41" t="s">
        <v>8</v>
      </c>
      <c r="B17" s="204">
        <v>103725</v>
      </c>
      <c r="C17" s="205">
        <v>92515</v>
      </c>
      <c r="D17" s="65" t="e">
        <f>IF(#REF!=0,"   ",C17/#REF!)</f>
        <v>#REF!</v>
      </c>
      <c r="E17" s="66" t="e">
        <f>C17-#REF!</f>
        <v>#REF!</v>
      </c>
    </row>
    <row r="18" spans="1:5" s="59" customFormat="1" ht="17.25" customHeight="1">
      <c r="A18" s="41" t="s">
        <v>113</v>
      </c>
      <c r="B18" s="204">
        <v>9900</v>
      </c>
      <c r="C18" s="238">
        <v>26546.58</v>
      </c>
      <c r="D18" s="65">
        <f aca="true" t="shared" si="0" ref="D18:D35">IF(B18=0,"   ",C18/B18*100)</f>
        <v>268.1472727272727</v>
      </c>
      <c r="E18" s="66">
        <f aca="true" t="shared" si="1" ref="E18:E35">C18-B18</f>
        <v>16646.58</v>
      </c>
    </row>
    <row r="19" spans="1:5" s="59" customFormat="1" ht="18" customHeight="1">
      <c r="A19" s="41" t="s">
        <v>9</v>
      </c>
      <c r="B19" s="204">
        <f>SUM(B20:B21)</f>
        <v>764000</v>
      </c>
      <c r="C19" s="204">
        <f>SUM(C20:C21)</f>
        <v>214874.00999999998</v>
      </c>
      <c r="D19" s="65">
        <f t="shared" si="0"/>
        <v>28.124870418848165</v>
      </c>
      <c r="E19" s="66">
        <f t="shared" si="1"/>
        <v>-549125.99</v>
      </c>
    </row>
    <row r="20" spans="1:5" s="59" customFormat="1" ht="12.75">
      <c r="A20" s="41" t="s">
        <v>114</v>
      </c>
      <c r="B20" s="204">
        <v>253000</v>
      </c>
      <c r="C20" s="238">
        <v>43719.02</v>
      </c>
      <c r="D20" s="65">
        <f t="shared" si="0"/>
        <v>17.28024505928854</v>
      </c>
      <c r="E20" s="66">
        <f t="shared" si="1"/>
        <v>-209280.98</v>
      </c>
    </row>
    <row r="21" spans="1:5" s="59" customFormat="1" ht="16.5" customHeight="1">
      <c r="A21" s="41" t="s">
        <v>161</v>
      </c>
      <c r="B21" s="204">
        <f>SUM(B22:B23)</f>
        <v>511000</v>
      </c>
      <c r="C21" s="204">
        <f>SUM(C22:C23)</f>
        <v>171154.99</v>
      </c>
      <c r="D21" s="65">
        <f t="shared" si="0"/>
        <v>33.494127201565554</v>
      </c>
      <c r="E21" s="66">
        <f t="shared" si="1"/>
        <v>-339845.01</v>
      </c>
    </row>
    <row r="22" spans="1:5" s="59" customFormat="1" ht="12.75">
      <c r="A22" s="41" t="s">
        <v>162</v>
      </c>
      <c r="B22" s="204">
        <v>206000</v>
      </c>
      <c r="C22" s="238">
        <v>134279.55</v>
      </c>
      <c r="D22" s="65">
        <f t="shared" si="0"/>
        <v>65.18424757281552</v>
      </c>
      <c r="E22" s="66">
        <f t="shared" si="1"/>
        <v>-71720.45000000001</v>
      </c>
    </row>
    <row r="23" spans="1:5" s="59" customFormat="1" ht="12.75">
      <c r="A23" s="41" t="s">
        <v>163</v>
      </c>
      <c r="B23" s="204">
        <v>305000</v>
      </c>
      <c r="C23" s="238">
        <v>36875.44</v>
      </c>
      <c r="D23" s="65">
        <f t="shared" si="0"/>
        <v>12.090308196721313</v>
      </c>
      <c r="E23" s="66">
        <f t="shared" si="1"/>
        <v>-268124.56</v>
      </c>
    </row>
    <row r="24" spans="1:5" s="59" customFormat="1" ht="12.75">
      <c r="A24" s="41" t="s">
        <v>197</v>
      </c>
      <c r="B24" s="204">
        <v>0</v>
      </c>
      <c r="C24" s="238">
        <v>2620</v>
      </c>
      <c r="D24" s="65" t="str">
        <f t="shared" si="0"/>
        <v>   </v>
      </c>
      <c r="E24" s="66">
        <f t="shared" si="1"/>
        <v>2620</v>
      </c>
    </row>
    <row r="25" spans="1:5" s="59" customFormat="1" ht="19.5" customHeight="1">
      <c r="A25" s="41" t="s">
        <v>88</v>
      </c>
      <c r="B25" s="204">
        <v>0</v>
      </c>
      <c r="C25" s="204">
        <v>0</v>
      </c>
      <c r="D25" s="65" t="str">
        <f t="shared" si="0"/>
        <v>   </v>
      </c>
      <c r="E25" s="66">
        <f t="shared" si="1"/>
        <v>0</v>
      </c>
    </row>
    <row r="26" spans="1:5" s="59" customFormat="1" ht="24.75" customHeight="1">
      <c r="A26" s="41" t="s">
        <v>28</v>
      </c>
      <c r="B26" s="204">
        <f>SUM(B27:B29)</f>
        <v>463400</v>
      </c>
      <c r="C26" s="204">
        <f>SUM(C27:C29)</f>
        <v>199509.71</v>
      </c>
      <c r="D26" s="65">
        <f t="shared" si="0"/>
        <v>43.053454898575744</v>
      </c>
      <c r="E26" s="66">
        <f t="shared" si="1"/>
        <v>-263890.29000000004</v>
      </c>
    </row>
    <row r="27" spans="1:5" s="59" customFormat="1" ht="12.75">
      <c r="A27" s="41" t="s">
        <v>152</v>
      </c>
      <c r="B27" s="204">
        <v>453700</v>
      </c>
      <c r="C27" s="238">
        <v>189008.71</v>
      </c>
      <c r="D27" s="65">
        <f t="shared" si="0"/>
        <v>41.65940268900154</v>
      </c>
      <c r="E27" s="66">
        <f t="shared" si="1"/>
        <v>-264691.29000000004</v>
      </c>
    </row>
    <row r="28" spans="1:5" s="59" customFormat="1" ht="15.75" customHeight="1">
      <c r="A28" s="41" t="s">
        <v>30</v>
      </c>
      <c r="B28" s="204">
        <v>0</v>
      </c>
      <c r="C28" s="205">
        <v>8501</v>
      </c>
      <c r="D28" s="65" t="str">
        <f t="shared" si="0"/>
        <v>   </v>
      </c>
      <c r="E28" s="66">
        <f t="shared" si="1"/>
        <v>8501</v>
      </c>
    </row>
    <row r="29" spans="1:5" s="59" customFormat="1" ht="44.25" customHeight="1">
      <c r="A29" s="16" t="s">
        <v>228</v>
      </c>
      <c r="B29" s="31">
        <v>9700</v>
      </c>
      <c r="C29" s="247">
        <v>2000</v>
      </c>
      <c r="D29" s="65">
        <f t="shared" si="0"/>
        <v>20.618556701030926</v>
      </c>
      <c r="E29" s="66">
        <f t="shared" si="1"/>
        <v>-7700</v>
      </c>
    </row>
    <row r="30" spans="1:5" s="59" customFormat="1" ht="18.75" customHeight="1">
      <c r="A30" s="41" t="s">
        <v>91</v>
      </c>
      <c r="B30" s="203">
        <v>0</v>
      </c>
      <c r="C30" s="205">
        <v>15026.46</v>
      </c>
      <c r="D30" s="65" t="str">
        <f t="shared" si="0"/>
        <v>   </v>
      </c>
      <c r="E30" s="66">
        <f t="shared" si="1"/>
        <v>15026.46</v>
      </c>
    </row>
    <row r="31" spans="1:5" s="59" customFormat="1" ht="16.5" customHeight="1">
      <c r="A31" s="41" t="s">
        <v>78</v>
      </c>
      <c r="B31" s="203">
        <f>B32+B33</f>
        <v>0</v>
      </c>
      <c r="C31" s="203">
        <f>C32+C33</f>
        <v>13580</v>
      </c>
      <c r="D31" s="65" t="str">
        <f t="shared" si="0"/>
        <v>   </v>
      </c>
      <c r="E31" s="66">
        <f t="shared" si="1"/>
        <v>13580</v>
      </c>
    </row>
    <row r="32" spans="1:5" s="59" customFormat="1" ht="16.5" customHeight="1">
      <c r="A32" s="41" t="s">
        <v>134</v>
      </c>
      <c r="B32" s="203">
        <v>0</v>
      </c>
      <c r="C32" s="238">
        <v>13580</v>
      </c>
      <c r="D32" s="65" t="str">
        <f t="shared" si="0"/>
        <v>   </v>
      </c>
      <c r="E32" s="66">
        <f t="shared" si="1"/>
        <v>13580</v>
      </c>
    </row>
    <row r="33" spans="1:5" s="59" customFormat="1" ht="27.75" customHeight="1">
      <c r="A33" s="41" t="s">
        <v>206</v>
      </c>
      <c r="B33" s="204">
        <v>0</v>
      </c>
      <c r="C33" s="206">
        <v>0</v>
      </c>
      <c r="D33" s="65" t="str">
        <f t="shared" si="0"/>
        <v>   </v>
      </c>
      <c r="E33" s="66">
        <f t="shared" si="1"/>
        <v>0</v>
      </c>
    </row>
    <row r="34" spans="1:5" s="59" customFormat="1" ht="15.75" customHeight="1">
      <c r="A34" s="16" t="s">
        <v>31</v>
      </c>
      <c r="B34" s="204">
        <v>0</v>
      </c>
      <c r="C34" s="206">
        <v>0</v>
      </c>
      <c r="D34" s="65" t="str">
        <f t="shared" si="0"/>
        <v>   </v>
      </c>
      <c r="E34" s="66">
        <f t="shared" si="1"/>
        <v>0</v>
      </c>
    </row>
    <row r="35" spans="1:5" s="59" customFormat="1" ht="15" customHeight="1">
      <c r="A35" s="41" t="s">
        <v>32</v>
      </c>
      <c r="B35" s="204">
        <f>B38+B39</f>
        <v>0</v>
      </c>
      <c r="C35" s="204">
        <f>SUM(C38:C39)</f>
        <v>0</v>
      </c>
      <c r="D35" s="65" t="str">
        <f t="shared" si="0"/>
        <v>   </v>
      </c>
      <c r="E35" s="66">
        <f t="shared" si="1"/>
        <v>0</v>
      </c>
    </row>
    <row r="36" spans="1:5" s="59" customFormat="1" ht="12.75" customHeight="1" hidden="1">
      <c r="A36" s="69" t="s">
        <v>33</v>
      </c>
      <c r="B36" s="204"/>
      <c r="C36" s="207"/>
      <c r="D36" s="65" t="e">
        <f>IF(#REF!=0,"   ",C36/#REF!)</f>
        <v>#REF!</v>
      </c>
      <c r="E36" s="66" t="e">
        <f>C36-#REF!</f>
        <v>#REF!</v>
      </c>
    </row>
    <row r="37" spans="1:5" s="9" customFormat="1" ht="12.75" customHeight="1" hidden="1">
      <c r="A37" s="69" t="s">
        <v>16</v>
      </c>
      <c r="B37" s="208" t="e">
        <f>SUM(B44,#REF!,#REF!,#REF!)</f>
        <v>#REF!</v>
      </c>
      <c r="C37" s="209" t="e">
        <f>SUM(C44,#REF!,#REF!,#REF!)</f>
        <v>#REF!</v>
      </c>
      <c r="D37" s="65" t="e">
        <f>IF(#REF!=0,"   ",C37/#REF!)</f>
        <v>#REF!</v>
      </c>
      <c r="E37" s="66" t="e">
        <f>C37-#REF!</f>
        <v>#REF!</v>
      </c>
    </row>
    <row r="38" spans="1:5" s="9" customFormat="1" ht="12.75">
      <c r="A38" s="41" t="s">
        <v>133</v>
      </c>
      <c r="B38" s="210">
        <v>0</v>
      </c>
      <c r="C38" s="203">
        <v>0</v>
      </c>
      <c r="D38" s="65" t="str">
        <f>IF(B38=0,"   ",C38/B38*100)</f>
        <v>   </v>
      </c>
      <c r="E38" s="66">
        <f>C38-B38</f>
        <v>0</v>
      </c>
    </row>
    <row r="39" spans="1:5" s="9" customFormat="1" ht="15" customHeight="1">
      <c r="A39" s="41" t="s">
        <v>108</v>
      </c>
      <c r="B39" s="204">
        <v>0</v>
      </c>
      <c r="C39" s="203">
        <v>0</v>
      </c>
      <c r="D39" s="65" t="str">
        <f>IF(B39=0,"   ",C39/B39*100)</f>
        <v>   </v>
      </c>
      <c r="E39" s="66">
        <f>C39-B39</f>
        <v>0</v>
      </c>
    </row>
    <row r="40" spans="1:5" s="9" customFormat="1" ht="12.75" customHeight="1" hidden="1">
      <c r="A40" s="41" t="s">
        <v>46</v>
      </c>
      <c r="B40" s="208"/>
      <c r="C40" s="203">
        <v>0</v>
      </c>
      <c r="D40" s="65" t="e">
        <f>IF(#REF!=0,"   ",C40/#REF!)</f>
        <v>#REF!</v>
      </c>
      <c r="E40" s="66" t="e">
        <f>C40-#REF!</f>
        <v>#REF!</v>
      </c>
    </row>
    <row r="41" spans="1:5" s="9" customFormat="1" ht="0.75" customHeight="1" hidden="1">
      <c r="A41" s="88" t="s">
        <v>47</v>
      </c>
      <c r="B41" s="211">
        <v>1250</v>
      </c>
      <c r="C41" s="212"/>
      <c r="D41" s="90" t="e">
        <f>IF(#REF!=0,"   ",C41/#REF!)</f>
        <v>#REF!</v>
      </c>
      <c r="E41" s="91" t="e">
        <f>C41-#REF!</f>
        <v>#REF!</v>
      </c>
    </row>
    <row r="42" spans="1:5" s="9" customFormat="1" ht="22.5" customHeight="1">
      <c r="A42" s="190" t="s">
        <v>10</v>
      </c>
      <c r="B42" s="213">
        <f>B7+B16+B19+B25+B26+B30+B31+B35+B14+B34+B24</f>
        <v>1978100</v>
      </c>
      <c r="C42" s="209">
        <f>C7+C16+C19+C25+C26+C30+C31+C35+C14+C34+C24</f>
        <v>785459.9199999999</v>
      </c>
      <c r="D42" s="141">
        <f aca="true" t="shared" si="2" ref="D42:D57">IF(B42=0,"   ",C42/B42*100)</f>
        <v>39.70779637025428</v>
      </c>
      <c r="E42" s="191">
        <f aca="true" t="shared" si="3" ref="E42:E57">C42-B42</f>
        <v>-1192640.08</v>
      </c>
    </row>
    <row r="43" spans="1:5" s="9" customFormat="1" ht="18.75" customHeight="1">
      <c r="A43" s="181" t="s">
        <v>140</v>
      </c>
      <c r="B43" s="214">
        <f>SUM(B44:B47,B50:B53,B57)</f>
        <v>2911006.8</v>
      </c>
      <c r="C43" s="215">
        <f>SUM(C44:C47,C50:C53,C57)</f>
        <v>604600</v>
      </c>
      <c r="D43" s="65">
        <f t="shared" si="2"/>
        <v>20.769446502151766</v>
      </c>
      <c r="E43" s="68">
        <f t="shared" si="3"/>
        <v>-2306406.8</v>
      </c>
    </row>
    <row r="44" spans="1:5" s="59" customFormat="1" ht="19.5" customHeight="1">
      <c r="A44" s="92" t="s">
        <v>34</v>
      </c>
      <c r="B44" s="215">
        <v>796400</v>
      </c>
      <c r="C44" s="238">
        <v>398200</v>
      </c>
      <c r="D44" s="78">
        <f t="shared" si="2"/>
        <v>50</v>
      </c>
      <c r="E44" s="79">
        <f t="shared" si="3"/>
        <v>-398200</v>
      </c>
    </row>
    <row r="45" spans="1:5" s="59" customFormat="1" ht="19.5" customHeight="1">
      <c r="A45" s="17" t="s">
        <v>232</v>
      </c>
      <c r="B45" s="215">
        <v>0</v>
      </c>
      <c r="C45" s="238">
        <v>0</v>
      </c>
      <c r="D45" s="78" t="str">
        <f>IF(B45=0,"   ",C45/B45*100)</f>
        <v>   </v>
      </c>
      <c r="E45" s="79">
        <f>C45-B45</f>
        <v>0</v>
      </c>
    </row>
    <row r="46" spans="1:5" s="59" customFormat="1" ht="30" customHeight="1">
      <c r="A46" s="109" t="s">
        <v>51</v>
      </c>
      <c r="B46" s="249">
        <v>90400</v>
      </c>
      <c r="C46" s="247">
        <v>44300</v>
      </c>
      <c r="D46" s="110">
        <f t="shared" si="2"/>
        <v>49.00442477876106</v>
      </c>
      <c r="E46" s="111">
        <f t="shared" si="3"/>
        <v>-46100</v>
      </c>
    </row>
    <row r="47" spans="1:5" s="59" customFormat="1" ht="30" customHeight="1">
      <c r="A47" s="109" t="s">
        <v>148</v>
      </c>
      <c r="B47" s="249">
        <f>SUM(B48:B49)</f>
        <v>9900</v>
      </c>
      <c r="C47" s="249">
        <f>SUM(C48:C49)</f>
        <v>100</v>
      </c>
      <c r="D47" s="110">
        <f t="shared" si="2"/>
        <v>1.0101010101010102</v>
      </c>
      <c r="E47" s="111">
        <f t="shared" si="3"/>
        <v>-9800</v>
      </c>
    </row>
    <row r="48" spans="1:5" s="59" customFormat="1" ht="18" customHeight="1">
      <c r="A48" s="109" t="s">
        <v>164</v>
      </c>
      <c r="B48" s="249">
        <v>100</v>
      </c>
      <c r="C48" s="249">
        <v>100</v>
      </c>
      <c r="D48" s="110">
        <f t="shared" si="2"/>
        <v>100</v>
      </c>
      <c r="E48" s="111">
        <f t="shared" si="3"/>
        <v>0</v>
      </c>
    </row>
    <row r="49" spans="1:5" s="59" customFormat="1" ht="30" customHeight="1">
      <c r="A49" s="109" t="s">
        <v>165</v>
      </c>
      <c r="B49" s="249">
        <v>9800</v>
      </c>
      <c r="C49" s="249">
        <v>0</v>
      </c>
      <c r="D49" s="110">
        <f t="shared" si="2"/>
        <v>0</v>
      </c>
      <c r="E49" s="111">
        <f t="shared" si="3"/>
        <v>-9800</v>
      </c>
    </row>
    <row r="50" spans="1:5" s="59" customFormat="1" ht="31.5" customHeight="1">
      <c r="A50" s="16" t="s">
        <v>103</v>
      </c>
      <c r="B50" s="249">
        <v>0</v>
      </c>
      <c r="C50" s="249">
        <v>0</v>
      </c>
      <c r="D50" s="110" t="str">
        <f t="shared" si="2"/>
        <v>   </v>
      </c>
      <c r="E50" s="111">
        <f t="shared" si="3"/>
        <v>0</v>
      </c>
    </row>
    <row r="51" spans="1:5" s="59" customFormat="1" ht="18.75" customHeight="1">
      <c r="A51" s="16" t="s">
        <v>171</v>
      </c>
      <c r="B51" s="216">
        <v>0</v>
      </c>
      <c r="C51" s="216">
        <v>0</v>
      </c>
      <c r="D51" s="110" t="str">
        <f t="shared" si="2"/>
        <v>   </v>
      </c>
      <c r="E51" s="111">
        <f t="shared" si="3"/>
        <v>0</v>
      </c>
    </row>
    <row r="52" spans="1:5" s="59" customFormat="1" ht="41.25" customHeight="1">
      <c r="A52" s="16" t="s">
        <v>241</v>
      </c>
      <c r="B52" s="249">
        <v>562200</v>
      </c>
      <c r="C52" s="249">
        <v>0</v>
      </c>
      <c r="D52" s="110">
        <f t="shared" si="2"/>
        <v>0</v>
      </c>
      <c r="E52" s="111">
        <f t="shared" si="3"/>
        <v>-562200</v>
      </c>
    </row>
    <row r="53" spans="1:5" s="59" customFormat="1" ht="18" customHeight="1">
      <c r="A53" s="41" t="s">
        <v>54</v>
      </c>
      <c r="B53" s="204">
        <f>B56+B54+B55</f>
        <v>1324000</v>
      </c>
      <c r="C53" s="204">
        <f>C56+C54+C55</f>
        <v>162000</v>
      </c>
      <c r="D53" s="65">
        <f t="shared" si="2"/>
        <v>12.235649546827794</v>
      </c>
      <c r="E53" s="66">
        <f t="shared" si="3"/>
        <v>-1162000</v>
      </c>
    </row>
    <row r="54" spans="1:5" s="59" customFormat="1" ht="18" customHeight="1">
      <c r="A54" s="46" t="s">
        <v>189</v>
      </c>
      <c r="B54" s="204">
        <v>626000</v>
      </c>
      <c r="C54" s="204">
        <v>0</v>
      </c>
      <c r="D54" s="65">
        <f t="shared" si="2"/>
        <v>0</v>
      </c>
      <c r="E54" s="66">
        <f t="shared" si="3"/>
        <v>-626000</v>
      </c>
    </row>
    <row r="55" spans="1:5" s="59" customFormat="1" ht="18" customHeight="1">
      <c r="A55" s="46" t="s">
        <v>292</v>
      </c>
      <c r="B55" s="204">
        <v>328200</v>
      </c>
      <c r="C55" s="204">
        <v>0</v>
      </c>
      <c r="D55" s="65">
        <f>IF(B55=0,"   ",C55/B55*100)</f>
        <v>0</v>
      </c>
      <c r="E55" s="66">
        <f>C55-B55</f>
        <v>-328200</v>
      </c>
    </row>
    <row r="56" spans="1:5" s="59" customFormat="1" ht="20.25" customHeight="1">
      <c r="A56" s="46" t="s">
        <v>109</v>
      </c>
      <c r="B56" s="204">
        <v>369800</v>
      </c>
      <c r="C56" s="204">
        <v>162000</v>
      </c>
      <c r="D56" s="65">
        <f t="shared" si="2"/>
        <v>43.807463493780425</v>
      </c>
      <c r="E56" s="66">
        <f t="shared" si="3"/>
        <v>-207800</v>
      </c>
    </row>
    <row r="57" spans="1:5" s="59" customFormat="1" ht="24.75" customHeight="1">
      <c r="A57" s="16" t="s">
        <v>200</v>
      </c>
      <c r="B57" s="204">
        <v>128106.8</v>
      </c>
      <c r="C57" s="204">
        <v>0</v>
      </c>
      <c r="D57" s="65">
        <f t="shared" si="2"/>
        <v>0</v>
      </c>
      <c r="E57" s="66">
        <f t="shared" si="3"/>
        <v>-128106.8</v>
      </c>
    </row>
    <row r="58" spans="1:5" s="59" customFormat="1" ht="27" customHeight="1">
      <c r="A58" s="30" t="s">
        <v>11</v>
      </c>
      <c r="B58" s="150">
        <f>B42+B43</f>
        <v>4889106.8</v>
      </c>
      <c r="C58" s="43">
        <f>C42+C43</f>
        <v>1390059.92</v>
      </c>
      <c r="D58" s="141">
        <f aca="true" t="shared" si="4" ref="D58:D89">IF(B58=0,"   ",C58/B58*100)</f>
        <v>28.43177653636038</v>
      </c>
      <c r="E58" s="142">
        <f aca="true" t="shared" si="5" ref="E58:E89">C58-B58</f>
        <v>-3499046.88</v>
      </c>
    </row>
    <row r="59" spans="1:5" s="8" customFormat="1" ht="13.5" thickBot="1">
      <c r="A59" s="106" t="s">
        <v>12</v>
      </c>
      <c r="B59" s="107"/>
      <c r="C59" s="108"/>
      <c r="D59" s="90"/>
      <c r="E59" s="91"/>
    </row>
    <row r="60" spans="1:5" s="59" customFormat="1" ht="18.75" customHeight="1" thickBot="1">
      <c r="A60" s="98" t="s">
        <v>35</v>
      </c>
      <c r="B60" s="99">
        <f>SUM(B61,B64:B65)</f>
        <v>1177200</v>
      </c>
      <c r="C60" s="99">
        <f>SUM(C61,C64:C65)</f>
        <v>512571.73</v>
      </c>
      <c r="D60" s="93">
        <f t="shared" si="4"/>
        <v>43.54160125722052</v>
      </c>
      <c r="E60" s="94">
        <f t="shared" si="5"/>
        <v>-664628.27</v>
      </c>
    </row>
    <row r="61" spans="1:5" s="59" customFormat="1" ht="17.25" customHeight="1" thickBot="1">
      <c r="A61" s="96" t="s">
        <v>36</v>
      </c>
      <c r="B61" s="97">
        <v>1146700</v>
      </c>
      <c r="C61" s="99">
        <v>512571.73</v>
      </c>
      <c r="D61" s="78">
        <f t="shared" si="4"/>
        <v>44.69972355454783</v>
      </c>
      <c r="E61" s="79">
        <f t="shared" si="5"/>
        <v>-634128.27</v>
      </c>
    </row>
    <row r="62" spans="1:5" s="59" customFormat="1" ht="18" customHeight="1">
      <c r="A62" s="41" t="s">
        <v>120</v>
      </c>
      <c r="B62" s="31">
        <v>766974</v>
      </c>
      <c r="C62" s="70">
        <v>348162.34</v>
      </c>
      <c r="D62" s="65">
        <f t="shared" si="4"/>
        <v>45.394281944368394</v>
      </c>
      <c r="E62" s="66">
        <f t="shared" si="5"/>
        <v>-418811.66</v>
      </c>
    </row>
    <row r="63" spans="1:5" s="59" customFormat="1" ht="18" customHeight="1">
      <c r="A63" s="41" t="s">
        <v>293</v>
      </c>
      <c r="B63" s="31">
        <v>100</v>
      </c>
      <c r="C63" s="70">
        <v>100</v>
      </c>
      <c r="D63" s="65">
        <f>IF(B63=0,"   ",C63/B63*100)</f>
        <v>100</v>
      </c>
      <c r="E63" s="66">
        <f>C63-B63</f>
        <v>0</v>
      </c>
    </row>
    <row r="64" spans="1:5" s="59" customFormat="1" ht="15.75" customHeight="1">
      <c r="A64" s="41" t="s">
        <v>95</v>
      </c>
      <c r="B64" s="31">
        <v>500</v>
      </c>
      <c r="C64" s="70">
        <v>0</v>
      </c>
      <c r="D64" s="65">
        <f t="shared" si="4"/>
        <v>0</v>
      </c>
      <c r="E64" s="66">
        <f t="shared" si="5"/>
        <v>-500</v>
      </c>
    </row>
    <row r="65" spans="1:5" s="59" customFormat="1" ht="12.75">
      <c r="A65" s="41" t="s">
        <v>52</v>
      </c>
      <c r="B65" s="31">
        <f>SUM(B66:B67)</f>
        <v>30000</v>
      </c>
      <c r="C65" s="31">
        <f>SUM(C66:C67)</f>
        <v>0</v>
      </c>
      <c r="D65" s="65">
        <f t="shared" si="4"/>
        <v>0</v>
      </c>
      <c r="E65" s="66">
        <f t="shared" si="5"/>
        <v>-30000</v>
      </c>
    </row>
    <row r="66" spans="1:5" s="59" customFormat="1" ht="28.5" customHeight="1">
      <c r="A66" s="105" t="s">
        <v>252</v>
      </c>
      <c r="B66" s="31">
        <v>30000</v>
      </c>
      <c r="C66" s="68">
        <v>0</v>
      </c>
      <c r="D66" s="65">
        <f t="shared" si="4"/>
        <v>0</v>
      </c>
      <c r="E66" s="68">
        <f t="shared" si="5"/>
        <v>-30000</v>
      </c>
    </row>
    <row r="67" spans="1:5" s="59" customFormat="1" ht="17.25" customHeight="1" thickBot="1">
      <c r="A67" s="195" t="s">
        <v>223</v>
      </c>
      <c r="B67" s="31">
        <v>0</v>
      </c>
      <c r="C67" s="68">
        <v>0</v>
      </c>
      <c r="D67" s="65" t="str">
        <f t="shared" si="4"/>
        <v>   </v>
      </c>
      <c r="E67" s="68">
        <f t="shared" si="5"/>
        <v>0</v>
      </c>
    </row>
    <row r="68" spans="1:5" s="59" customFormat="1" ht="13.5" thickBot="1">
      <c r="A68" s="98" t="s">
        <v>49</v>
      </c>
      <c r="B68" s="196">
        <f>SUM(B69)</f>
        <v>90400</v>
      </c>
      <c r="C68" s="196">
        <f>SUM(C69)</f>
        <v>40983.16</v>
      </c>
      <c r="D68" s="197">
        <f t="shared" si="4"/>
        <v>45.335353982300894</v>
      </c>
      <c r="E68" s="198">
        <f t="shared" si="5"/>
        <v>-49416.84</v>
      </c>
    </row>
    <row r="69" spans="1:5" s="59" customFormat="1" ht="20.25" customHeight="1" thickBot="1">
      <c r="A69" s="75" t="s">
        <v>107</v>
      </c>
      <c r="B69" s="100">
        <v>90400</v>
      </c>
      <c r="C69" s="77">
        <v>40983.16</v>
      </c>
      <c r="D69" s="102">
        <f t="shared" si="4"/>
        <v>45.335353982300894</v>
      </c>
      <c r="E69" s="103">
        <f t="shared" si="5"/>
        <v>-49416.84</v>
      </c>
    </row>
    <row r="70" spans="1:5" s="59" customFormat="1" ht="13.5" thickBot="1">
      <c r="A70" s="98" t="s">
        <v>37</v>
      </c>
      <c r="B70" s="99">
        <f>SUM(B71)</f>
        <v>80400</v>
      </c>
      <c r="C70" s="99">
        <f>SUM(C71)</f>
        <v>400</v>
      </c>
      <c r="D70" s="93">
        <f t="shared" si="4"/>
        <v>0.4975124378109453</v>
      </c>
      <c r="E70" s="94">
        <f t="shared" si="5"/>
        <v>-80000</v>
      </c>
    </row>
    <row r="71" spans="1:5" s="59" customFormat="1" ht="13.5" thickBot="1">
      <c r="A71" s="75" t="s">
        <v>128</v>
      </c>
      <c r="B71" s="100">
        <v>80400</v>
      </c>
      <c r="C71" s="77">
        <v>400</v>
      </c>
      <c r="D71" s="102">
        <f t="shared" si="4"/>
        <v>0.4975124378109453</v>
      </c>
      <c r="E71" s="103">
        <f t="shared" si="5"/>
        <v>-80000</v>
      </c>
    </row>
    <row r="72" spans="1:5" s="59" customFormat="1" ht="13.5" thickBot="1">
      <c r="A72" s="98" t="s">
        <v>38</v>
      </c>
      <c r="B72" s="99">
        <f>B73+B78+B90+B76</f>
        <v>2188999.7</v>
      </c>
      <c r="C72" s="99">
        <f>C73+C78+C90+C76</f>
        <v>242025.62</v>
      </c>
      <c r="D72" s="93">
        <f t="shared" si="4"/>
        <v>11.056448294625165</v>
      </c>
      <c r="E72" s="94">
        <f t="shared" si="5"/>
        <v>-1946974.08</v>
      </c>
    </row>
    <row r="73" spans="1:5" s="59" customFormat="1" ht="19.5" customHeight="1" thickBot="1">
      <c r="A73" s="75" t="s">
        <v>166</v>
      </c>
      <c r="B73" s="99">
        <f>SUM(B74+B75)</f>
        <v>9800</v>
      </c>
      <c r="C73" s="99">
        <f>SUM(C74+C75)</f>
        <v>0</v>
      </c>
      <c r="D73" s="93">
        <f>IF(B73=0,"   ",C73/B73*100)</f>
        <v>0</v>
      </c>
      <c r="E73" s="94">
        <f>C73-B73</f>
        <v>-9800</v>
      </c>
    </row>
    <row r="74" spans="1:5" s="59" customFormat="1" ht="17.25" customHeight="1" thickBot="1">
      <c r="A74" s="148" t="s">
        <v>167</v>
      </c>
      <c r="B74" s="253">
        <v>9800</v>
      </c>
      <c r="C74" s="99">
        <v>0</v>
      </c>
      <c r="D74" s="93">
        <f>IF(B74=0,"   ",C74/B74*100)</f>
        <v>0</v>
      </c>
      <c r="E74" s="94">
        <f>C74-B74</f>
        <v>-9800</v>
      </c>
    </row>
    <row r="75" spans="1:5" s="59" customFormat="1" ht="17.25" customHeight="1" thickBot="1">
      <c r="A75" s="148" t="s">
        <v>190</v>
      </c>
      <c r="B75" s="100">
        <v>0</v>
      </c>
      <c r="C75" s="99">
        <v>0</v>
      </c>
      <c r="D75" s="93"/>
      <c r="E75" s="94"/>
    </row>
    <row r="76" spans="1:5" s="59" customFormat="1" ht="17.25" customHeight="1" thickBot="1">
      <c r="A76" s="75" t="s">
        <v>234</v>
      </c>
      <c r="B76" s="99">
        <f>SUM(B77)</f>
        <v>62025.62</v>
      </c>
      <c r="C76" s="99">
        <f>SUM(C77)</f>
        <v>62025.62</v>
      </c>
      <c r="D76" s="78">
        <f>IF(B76=0,"   ",C76/B76*100)</f>
        <v>100</v>
      </c>
      <c r="E76" s="79">
        <f>C76-B76</f>
        <v>0</v>
      </c>
    </row>
    <row r="77" spans="1:5" s="59" customFormat="1" ht="17.25" customHeight="1">
      <c r="A77" s="75" t="s">
        <v>235</v>
      </c>
      <c r="B77" s="100">
        <v>62025.62</v>
      </c>
      <c r="C77" s="100">
        <v>62025.62</v>
      </c>
      <c r="D77" s="78">
        <f>IF(B77=0,"   ",C77/B77*100)</f>
        <v>100</v>
      </c>
      <c r="E77" s="79">
        <f>C77-B77</f>
        <v>0</v>
      </c>
    </row>
    <row r="78" spans="1:5" s="59" customFormat="1" ht="18.75" customHeight="1">
      <c r="A78" s="148" t="s">
        <v>131</v>
      </c>
      <c r="B78" s="97">
        <f>SUM(B79:B80,B84:B89)</f>
        <v>2036074.08</v>
      </c>
      <c r="C78" s="97">
        <f>SUM(C79:C80,C84:C89)</f>
        <v>180000</v>
      </c>
      <c r="D78" s="78">
        <f t="shared" si="4"/>
        <v>8.840542776321774</v>
      </c>
      <c r="E78" s="79">
        <f t="shared" si="5"/>
        <v>-1856074.08</v>
      </c>
    </row>
    <row r="79" spans="1:5" s="59" customFormat="1" ht="19.5" customHeight="1">
      <c r="A79" s="75" t="s">
        <v>149</v>
      </c>
      <c r="B79" s="31">
        <v>0</v>
      </c>
      <c r="C79" s="31"/>
      <c r="D79" s="78" t="str">
        <f t="shared" si="4"/>
        <v>   </v>
      </c>
      <c r="E79" s="68">
        <f t="shared" si="5"/>
        <v>0</v>
      </c>
    </row>
    <row r="80" spans="1:5" s="59" customFormat="1" ht="19.5" customHeight="1">
      <c r="A80" s="105" t="s">
        <v>207</v>
      </c>
      <c r="B80" s="31">
        <f>SUM(B81:B83)</f>
        <v>547011.86</v>
      </c>
      <c r="C80" s="31">
        <f>SUM(C81:C83)</f>
        <v>0</v>
      </c>
      <c r="D80" s="78">
        <f>IF(B80=0,"   ",C80/B80*100)</f>
        <v>0</v>
      </c>
      <c r="E80" s="68">
        <f>C80-B80</f>
        <v>-547011.86</v>
      </c>
    </row>
    <row r="81" spans="1:5" s="59" customFormat="1" ht="29.25" customHeight="1">
      <c r="A81" s="105" t="s">
        <v>217</v>
      </c>
      <c r="B81" s="31">
        <v>328200</v>
      </c>
      <c r="C81" s="31">
        <v>0</v>
      </c>
      <c r="D81" s="78">
        <f>IF(B81=0,"   ",C81/B81*100)</f>
        <v>0</v>
      </c>
      <c r="E81" s="68">
        <f>C81-B81</f>
        <v>-328200</v>
      </c>
    </row>
    <row r="82" spans="1:5" s="59" customFormat="1" ht="27" customHeight="1">
      <c r="A82" s="105" t="s">
        <v>208</v>
      </c>
      <c r="B82" s="31">
        <v>109811.86</v>
      </c>
      <c r="C82" s="31">
        <v>0</v>
      </c>
      <c r="D82" s="78">
        <f>IF(B82=0,"   ",C82/B82*100)</f>
        <v>0</v>
      </c>
      <c r="E82" s="68">
        <f>C82-B82</f>
        <v>-109811.86</v>
      </c>
    </row>
    <row r="83" spans="1:5" s="59" customFormat="1" ht="26.25" customHeight="1">
      <c r="A83" s="105" t="s">
        <v>218</v>
      </c>
      <c r="B83" s="31">
        <v>109000</v>
      </c>
      <c r="C83" s="31">
        <v>0</v>
      </c>
      <c r="D83" s="78">
        <f>IF(B83=0,"   ",C83/B83*100)</f>
        <v>0</v>
      </c>
      <c r="E83" s="68">
        <f>C83-B83</f>
        <v>-109000</v>
      </c>
    </row>
    <row r="84" spans="1:5" s="59" customFormat="1" ht="33.75" customHeight="1">
      <c r="A84" s="71" t="s">
        <v>262</v>
      </c>
      <c r="B84" s="31">
        <v>400400</v>
      </c>
      <c r="C84" s="31">
        <v>0</v>
      </c>
      <c r="D84" s="78">
        <f t="shared" si="4"/>
        <v>0</v>
      </c>
      <c r="E84" s="104">
        <f t="shared" si="5"/>
        <v>-400400</v>
      </c>
    </row>
    <row r="85" spans="1:5" s="59" customFormat="1" ht="27" customHeight="1">
      <c r="A85" s="71" t="s">
        <v>263</v>
      </c>
      <c r="B85" s="31">
        <v>53062.22</v>
      </c>
      <c r="C85" s="31">
        <v>0</v>
      </c>
      <c r="D85" s="78">
        <f t="shared" si="4"/>
        <v>0</v>
      </c>
      <c r="E85" s="104">
        <f t="shared" si="5"/>
        <v>-53062.22</v>
      </c>
    </row>
    <row r="86" spans="1:5" s="59" customFormat="1" ht="27" customHeight="1">
      <c r="A86" s="71" t="s">
        <v>264</v>
      </c>
      <c r="B86" s="31">
        <v>562200</v>
      </c>
      <c r="C86" s="31">
        <v>0</v>
      </c>
      <c r="D86" s="78">
        <f t="shared" si="4"/>
        <v>0</v>
      </c>
      <c r="E86" s="104">
        <f t="shared" si="5"/>
        <v>-562200</v>
      </c>
    </row>
    <row r="87" spans="1:5" s="59" customFormat="1" ht="27" customHeight="1">
      <c r="A87" s="71" t="s">
        <v>265</v>
      </c>
      <c r="B87" s="31">
        <v>62500</v>
      </c>
      <c r="C87" s="31">
        <v>0</v>
      </c>
      <c r="D87" s="78">
        <f t="shared" si="4"/>
        <v>0</v>
      </c>
      <c r="E87" s="104">
        <f t="shared" si="5"/>
        <v>-62500</v>
      </c>
    </row>
    <row r="88" spans="1:5" s="59" customFormat="1" ht="27" customHeight="1">
      <c r="A88" s="71" t="s">
        <v>266</v>
      </c>
      <c r="B88" s="31">
        <v>369800</v>
      </c>
      <c r="C88" s="31">
        <v>162000</v>
      </c>
      <c r="D88" s="78">
        <f t="shared" si="4"/>
        <v>43.807463493780425</v>
      </c>
      <c r="E88" s="104">
        <f t="shared" si="5"/>
        <v>-207800</v>
      </c>
    </row>
    <row r="89" spans="1:5" s="59" customFormat="1" ht="26.25">
      <c r="A89" s="71" t="s">
        <v>267</v>
      </c>
      <c r="B89" s="31">
        <v>41100</v>
      </c>
      <c r="C89" s="31">
        <v>18000</v>
      </c>
      <c r="D89" s="65">
        <f t="shared" si="4"/>
        <v>43.79562043795621</v>
      </c>
      <c r="E89" s="68">
        <f t="shared" si="5"/>
        <v>-23100</v>
      </c>
    </row>
    <row r="90" spans="1:5" s="59" customFormat="1" ht="12.75">
      <c r="A90" s="96" t="s">
        <v>178</v>
      </c>
      <c r="B90" s="31">
        <f>SUM(B91+B92)</f>
        <v>81100</v>
      </c>
      <c r="C90" s="31">
        <f>SUM(C91+C92)</f>
        <v>0</v>
      </c>
      <c r="D90" s="65">
        <f>IF(B90=0,"   ",C90/B90*100)</f>
        <v>0</v>
      </c>
      <c r="E90" s="68">
        <f>C90-B90</f>
        <v>-81100</v>
      </c>
    </row>
    <row r="91" spans="1:5" s="59" customFormat="1" ht="26.25">
      <c r="A91" s="105" t="s">
        <v>155</v>
      </c>
      <c r="B91" s="31">
        <v>34100</v>
      </c>
      <c r="C91" s="31">
        <v>0</v>
      </c>
      <c r="D91" s="65">
        <f>IF(B91=0,"   ",C91/B91*100)</f>
        <v>0</v>
      </c>
      <c r="E91" s="68">
        <f>C91-B91</f>
        <v>-34100</v>
      </c>
    </row>
    <row r="92" spans="1:5" s="59" customFormat="1" ht="27" thickBot="1">
      <c r="A92" s="75" t="s">
        <v>179</v>
      </c>
      <c r="B92" s="31">
        <v>47000</v>
      </c>
      <c r="C92" s="31">
        <v>0</v>
      </c>
      <c r="D92" s="65">
        <f>IF(B92=0,"   ",C92/B92*100)</f>
        <v>0</v>
      </c>
      <c r="E92" s="68">
        <f>C92-B92</f>
        <v>-47000</v>
      </c>
    </row>
    <row r="93" spans="1:5" s="59" customFormat="1" ht="13.5" thickBot="1">
      <c r="A93" s="98" t="s">
        <v>13</v>
      </c>
      <c r="B93" s="31">
        <f>B105+B96+B98</f>
        <v>898887.98</v>
      </c>
      <c r="C93" s="31">
        <f>C105+C96+C98</f>
        <v>112352.06</v>
      </c>
      <c r="D93" s="65">
        <f>IF(B93=0,"   ",C93/B93*100)</f>
        <v>12.499005715929142</v>
      </c>
      <c r="E93" s="68">
        <f>C93-B93</f>
        <v>-786535.9199999999</v>
      </c>
    </row>
    <row r="94" spans="1:5" s="59" customFormat="1" ht="12.75" customHeight="1" hidden="1">
      <c r="A94" s="96" t="s">
        <v>40</v>
      </c>
      <c r="B94" s="97" t="e">
        <f>SUM(#REF!,B105,#REF!)</f>
        <v>#REF!</v>
      </c>
      <c r="C94" s="97" t="e">
        <f>SUM(#REF!,C105,#REF!)</f>
        <v>#REF!</v>
      </c>
      <c r="D94" s="78" t="e">
        <f>IF(#REF!=0,"   ",C94/#REF!)</f>
        <v>#REF!</v>
      </c>
      <c r="E94" s="79" t="e">
        <f>C94-#REF!</f>
        <v>#REF!</v>
      </c>
    </row>
    <row r="95" spans="1:5" s="59" customFormat="1" ht="12.75" customHeight="1" hidden="1">
      <c r="A95" s="41" t="s">
        <v>18</v>
      </c>
      <c r="B95" s="31">
        <v>851563</v>
      </c>
      <c r="C95" s="68">
        <v>851563</v>
      </c>
      <c r="D95" s="65" t="e">
        <f>IF(#REF!=0,"   ",C95/#REF!)</f>
        <v>#REF!</v>
      </c>
      <c r="E95" s="66" t="e">
        <f>C95-#REF!</f>
        <v>#REF!</v>
      </c>
    </row>
    <row r="96" spans="1:5" s="59" customFormat="1" ht="12.75" customHeight="1">
      <c r="A96" s="41" t="s">
        <v>156</v>
      </c>
      <c r="B96" s="31">
        <f>SUM(B97)</f>
        <v>0</v>
      </c>
      <c r="C96" s="31">
        <f>SUM(C97)</f>
        <v>0</v>
      </c>
      <c r="D96" s="65" t="str">
        <f aca="true" t="shared" si="6" ref="D96:D102">IF(B96=0,"   ",C96/B96*100)</f>
        <v>   </v>
      </c>
      <c r="E96" s="68">
        <f aca="true" t="shared" si="7" ref="E96:E104">C96-B96</f>
        <v>0</v>
      </c>
    </row>
    <row r="97" spans="1:5" s="59" customFormat="1" ht="12.75" customHeight="1">
      <c r="A97" s="41" t="s">
        <v>157</v>
      </c>
      <c r="B97" s="31">
        <v>0</v>
      </c>
      <c r="C97" s="31">
        <v>0</v>
      </c>
      <c r="D97" s="65" t="str">
        <f t="shared" si="6"/>
        <v>   </v>
      </c>
      <c r="E97" s="68">
        <f t="shared" si="7"/>
        <v>0</v>
      </c>
    </row>
    <row r="98" spans="1:5" s="59" customFormat="1" ht="12.75" customHeight="1">
      <c r="A98" s="41" t="s">
        <v>150</v>
      </c>
      <c r="B98" s="31">
        <f>SUM(B99+B100)</f>
        <v>568700</v>
      </c>
      <c r="C98" s="31">
        <f>SUM(C99+C100)</f>
        <v>0</v>
      </c>
      <c r="D98" s="65">
        <f t="shared" si="6"/>
        <v>0</v>
      </c>
      <c r="E98" s="68">
        <f t="shared" si="7"/>
        <v>-568700</v>
      </c>
    </row>
    <row r="99" spans="1:5" s="59" customFormat="1" ht="12.75" customHeight="1">
      <c r="A99" s="16" t="s">
        <v>159</v>
      </c>
      <c r="B99" s="31">
        <v>0</v>
      </c>
      <c r="C99" s="31">
        <v>0</v>
      </c>
      <c r="D99" s="65" t="str">
        <f t="shared" si="6"/>
        <v>   </v>
      </c>
      <c r="E99" s="68">
        <f t="shared" si="7"/>
        <v>0</v>
      </c>
    </row>
    <row r="100" spans="1:5" s="59" customFormat="1" ht="18.75" customHeight="1">
      <c r="A100" s="105" t="s">
        <v>207</v>
      </c>
      <c r="B100" s="118">
        <f>SUM(B101+B102+B103)</f>
        <v>568700</v>
      </c>
      <c r="C100" s="118">
        <f>SUM(C101+C102+C103)</f>
        <v>0</v>
      </c>
      <c r="D100" s="65">
        <f t="shared" si="6"/>
        <v>0</v>
      </c>
      <c r="E100" s="68">
        <f t="shared" si="7"/>
        <v>-568700</v>
      </c>
    </row>
    <row r="101" spans="1:5" s="59" customFormat="1" ht="22.5" customHeight="1">
      <c r="A101" s="105" t="s">
        <v>188</v>
      </c>
      <c r="B101" s="31">
        <v>568700</v>
      </c>
      <c r="C101" s="31">
        <v>0</v>
      </c>
      <c r="D101" s="65">
        <f t="shared" si="6"/>
        <v>0</v>
      </c>
      <c r="E101" s="68">
        <f t="shared" si="7"/>
        <v>-568700</v>
      </c>
    </row>
    <row r="102" spans="1:5" s="59" customFormat="1" ht="27" customHeight="1">
      <c r="A102" s="105" t="s">
        <v>208</v>
      </c>
      <c r="B102" s="31">
        <v>0</v>
      </c>
      <c r="C102" s="31">
        <v>0</v>
      </c>
      <c r="D102" s="65" t="str">
        <f t="shared" si="6"/>
        <v>   </v>
      </c>
      <c r="E102" s="68">
        <f t="shared" si="7"/>
        <v>0</v>
      </c>
    </row>
    <row r="103" spans="1:5" s="59" customFormat="1" ht="28.5" customHeight="1">
      <c r="A103" s="105" t="s">
        <v>218</v>
      </c>
      <c r="B103" s="31">
        <v>0</v>
      </c>
      <c r="C103" s="31">
        <v>0</v>
      </c>
      <c r="D103" s="65" t="str">
        <f>IF(B103=0,"   ",C103/B103*100)</f>
        <v>   </v>
      </c>
      <c r="E103" s="68">
        <f t="shared" si="7"/>
        <v>0</v>
      </c>
    </row>
    <row r="104" spans="1:5" s="59" customFormat="1" ht="12.75" customHeight="1">
      <c r="A104" s="16" t="s">
        <v>198</v>
      </c>
      <c r="B104" s="31">
        <v>0</v>
      </c>
      <c r="C104" s="31">
        <v>0</v>
      </c>
      <c r="D104" s="65" t="str">
        <f>IF(B104=0,"   ",C104/B104*100)</f>
        <v>   </v>
      </c>
      <c r="E104" s="193">
        <f t="shared" si="7"/>
        <v>0</v>
      </c>
    </row>
    <row r="105" spans="1:5" s="59" customFormat="1" ht="12.75">
      <c r="A105" s="41" t="s">
        <v>58</v>
      </c>
      <c r="B105" s="31">
        <f>SUM(B106:B109)</f>
        <v>330187.98</v>
      </c>
      <c r="C105" s="31">
        <f>SUM(C106:C109)</f>
        <v>112352.06</v>
      </c>
      <c r="D105" s="65">
        <f aca="true" t="shared" si="8" ref="D105:D117">IF(B105=0,"   ",C105/B105*100)</f>
        <v>34.02669594453439</v>
      </c>
      <c r="E105" s="66">
        <f aca="true" t="shared" si="9" ref="E105:E117">C105-B105</f>
        <v>-217835.91999999998</v>
      </c>
    </row>
    <row r="106" spans="1:5" s="59" customFormat="1" ht="15" customHeight="1">
      <c r="A106" s="41" t="s">
        <v>56</v>
      </c>
      <c r="B106" s="31">
        <v>196700</v>
      </c>
      <c r="C106" s="68">
        <v>112352.06</v>
      </c>
      <c r="D106" s="65">
        <f t="shared" si="8"/>
        <v>57.11848500254194</v>
      </c>
      <c r="E106" s="66">
        <f t="shared" si="9"/>
        <v>-84347.94</v>
      </c>
    </row>
    <row r="107" spans="1:5" s="59" customFormat="1" ht="32.25" customHeight="1">
      <c r="A107" s="105" t="s">
        <v>168</v>
      </c>
      <c r="B107" s="89">
        <v>0</v>
      </c>
      <c r="C107" s="73">
        <v>0</v>
      </c>
      <c r="D107" s="90" t="str">
        <f t="shared" si="8"/>
        <v>   </v>
      </c>
      <c r="E107" s="91">
        <f t="shared" si="9"/>
        <v>0</v>
      </c>
    </row>
    <row r="108" spans="1:5" s="59" customFormat="1" ht="17.25" customHeight="1">
      <c r="A108" s="71" t="s">
        <v>57</v>
      </c>
      <c r="B108" s="89">
        <v>37974.38</v>
      </c>
      <c r="C108" s="95">
        <v>0</v>
      </c>
      <c r="D108" s="90">
        <f t="shared" si="8"/>
        <v>0</v>
      </c>
      <c r="E108" s="91">
        <f t="shared" si="9"/>
        <v>-37974.38</v>
      </c>
    </row>
    <row r="109" spans="1:5" s="59" customFormat="1" ht="17.25" customHeight="1">
      <c r="A109" s="105" t="s">
        <v>207</v>
      </c>
      <c r="B109" s="118">
        <f>SUM(B110+B111+B112)</f>
        <v>95513.6</v>
      </c>
      <c r="C109" s="118">
        <f>SUM(C110+C111+C112)</f>
        <v>0</v>
      </c>
      <c r="D109" s="65">
        <f t="shared" si="8"/>
        <v>0</v>
      </c>
      <c r="E109" s="68">
        <f t="shared" si="9"/>
        <v>-95513.6</v>
      </c>
    </row>
    <row r="110" spans="1:5" s="59" customFormat="1" ht="15.75" customHeight="1">
      <c r="A110" s="105" t="s">
        <v>188</v>
      </c>
      <c r="B110" s="31">
        <v>57300</v>
      </c>
      <c r="C110" s="70">
        <v>0</v>
      </c>
      <c r="D110" s="65">
        <f t="shared" si="8"/>
        <v>0</v>
      </c>
      <c r="E110" s="68">
        <f t="shared" si="9"/>
        <v>-57300</v>
      </c>
    </row>
    <row r="111" spans="1:5" s="59" customFormat="1" ht="27.75" customHeight="1">
      <c r="A111" s="105" t="s">
        <v>208</v>
      </c>
      <c r="B111" s="31">
        <v>19106.8</v>
      </c>
      <c r="C111" s="70">
        <v>0</v>
      </c>
      <c r="D111" s="65">
        <f>IF(B111=0,"   ",C111/B111*100)</f>
        <v>0</v>
      </c>
      <c r="E111" s="68">
        <f>C111-B111</f>
        <v>-19106.8</v>
      </c>
    </row>
    <row r="112" spans="1:5" s="59" customFormat="1" ht="27" customHeight="1" thickBot="1">
      <c r="A112" s="105" t="s">
        <v>218</v>
      </c>
      <c r="B112" s="31">
        <v>19106.8</v>
      </c>
      <c r="C112" s="70">
        <v>0</v>
      </c>
      <c r="D112" s="65">
        <f t="shared" si="8"/>
        <v>0</v>
      </c>
      <c r="E112" s="68">
        <f t="shared" si="9"/>
        <v>-19106.8</v>
      </c>
    </row>
    <row r="113" spans="1:5" s="59" customFormat="1" ht="15" customHeight="1" thickBot="1">
      <c r="A113" s="98" t="s">
        <v>17</v>
      </c>
      <c r="B113" s="196">
        <v>8000</v>
      </c>
      <c r="C113" s="196">
        <v>0</v>
      </c>
      <c r="D113" s="197">
        <f t="shared" si="8"/>
        <v>0</v>
      </c>
      <c r="E113" s="198">
        <f t="shared" si="9"/>
        <v>-8000</v>
      </c>
    </row>
    <row r="114" spans="1:5" s="59" customFormat="1" ht="13.5" thickBot="1">
      <c r="A114" s="98" t="s">
        <v>41</v>
      </c>
      <c r="B114" s="182">
        <f>SUM(B115)</f>
        <v>519000</v>
      </c>
      <c r="C114" s="99">
        <f>SUM(C115)</f>
        <v>352444.39</v>
      </c>
      <c r="D114" s="93">
        <f t="shared" si="8"/>
        <v>67.90836030828517</v>
      </c>
      <c r="E114" s="94">
        <f t="shared" si="9"/>
        <v>-166555.61</v>
      </c>
    </row>
    <row r="115" spans="1:5" s="59" customFormat="1" ht="13.5" thickBot="1">
      <c r="A115" s="96" t="s">
        <v>42</v>
      </c>
      <c r="B115" s="97">
        <v>519000</v>
      </c>
      <c r="C115" s="104">
        <v>352444.39</v>
      </c>
      <c r="D115" s="78">
        <f t="shared" si="8"/>
        <v>67.90836030828517</v>
      </c>
      <c r="E115" s="79">
        <f t="shared" si="9"/>
        <v>-166555.61</v>
      </c>
    </row>
    <row r="116" spans="1:5" s="59" customFormat="1" ht="19.5" customHeight="1" thickBot="1">
      <c r="A116" s="98" t="s">
        <v>124</v>
      </c>
      <c r="B116" s="182">
        <f>SUM(B117)</f>
        <v>15000</v>
      </c>
      <c r="C116" s="182">
        <f>SUM(C117)</f>
        <v>0</v>
      </c>
      <c r="D116" s="93">
        <f t="shared" si="8"/>
        <v>0</v>
      </c>
      <c r="E116" s="94">
        <f t="shared" si="9"/>
        <v>-15000</v>
      </c>
    </row>
    <row r="117" spans="1:5" s="59" customFormat="1" ht="16.5" customHeight="1">
      <c r="A117" s="75" t="s">
        <v>43</v>
      </c>
      <c r="B117" s="100">
        <v>15000</v>
      </c>
      <c r="C117" s="101">
        <v>0</v>
      </c>
      <c r="D117" s="102">
        <f t="shared" si="8"/>
        <v>0</v>
      </c>
      <c r="E117" s="103">
        <f t="shared" si="9"/>
        <v>-15000</v>
      </c>
    </row>
    <row r="118" spans="1:5" s="59" customFormat="1" ht="16.5" customHeight="1">
      <c r="A118" s="30" t="s">
        <v>15</v>
      </c>
      <c r="B118" s="150">
        <f>SUM(B60,B68,B70,B72,B93,B113,B114,B116,)</f>
        <v>4977887.68</v>
      </c>
      <c r="C118" s="150">
        <f>SUM(C60,C68,C70,C72,C93,C113,C114,C116,)</f>
        <v>1260776.96</v>
      </c>
      <c r="D118" s="141">
        <f>IF(B118=0,"   ",C118/B118*100)</f>
        <v>25.32754937532058</v>
      </c>
      <c r="E118" s="142">
        <f>C118-B118</f>
        <v>-3717110.7199999997</v>
      </c>
    </row>
    <row r="119" spans="1:5" s="59" customFormat="1" ht="12.75" customHeight="1" hidden="1">
      <c r="A119" s="75" t="s">
        <v>21</v>
      </c>
      <c r="B119" s="76"/>
      <c r="C119" s="77"/>
      <c r="D119" s="78" t="e">
        <f>IF(#REF!=0,"   ",C119/#REF!)</f>
        <v>#REF!</v>
      </c>
      <c r="E119" s="79" t="e">
        <f>C119-#REF!</f>
        <v>#REF!</v>
      </c>
    </row>
    <row r="120" spans="1:5" s="59" customFormat="1" ht="12.75" customHeight="1" hidden="1">
      <c r="A120" s="71" t="s">
        <v>22</v>
      </c>
      <c r="B120" s="72">
        <v>1122919</v>
      </c>
      <c r="C120" s="73">
        <v>815256</v>
      </c>
      <c r="D120" s="65" t="e">
        <f>IF(#REF!=0,"   ",C120/#REF!)</f>
        <v>#REF!</v>
      </c>
      <c r="E120" s="66" t="e">
        <f>C120-#REF!</f>
        <v>#REF!</v>
      </c>
    </row>
    <row r="121" spans="1:5" s="59" customFormat="1" ht="13.5" customHeight="1" hidden="1" thickBot="1">
      <c r="A121" s="71" t="s">
        <v>23</v>
      </c>
      <c r="B121" s="72">
        <v>1700000</v>
      </c>
      <c r="C121" s="95">
        <v>1700000</v>
      </c>
      <c r="D121" s="90" t="e">
        <f>IF(#REF!=0,"   ",C121/#REF!)</f>
        <v>#REF!</v>
      </c>
      <c r="E121" s="91" t="e">
        <f>C121-#REF!</f>
        <v>#REF!</v>
      </c>
    </row>
    <row r="122" spans="1:5" s="59" customFormat="1" ht="33" customHeight="1">
      <c r="A122" s="80" t="s">
        <v>225</v>
      </c>
      <c r="B122" s="80"/>
      <c r="C122" s="306"/>
      <c r="D122" s="306"/>
      <c r="E122" s="306"/>
    </row>
    <row r="123" spans="1:5" s="59" customFormat="1" ht="25.5" customHeight="1">
      <c r="A123" s="80" t="s">
        <v>154</v>
      </c>
      <c r="B123" s="80"/>
      <c r="C123" s="81" t="s">
        <v>251</v>
      </c>
      <c r="D123" s="82"/>
      <c r="E123" s="83"/>
    </row>
    <row r="124" spans="3:5" s="7" customFormat="1" ht="12.75">
      <c r="C124" s="6"/>
      <c r="E124" s="2"/>
    </row>
    <row r="125" spans="3:5" s="7" customFormat="1" ht="12.75">
      <c r="C125" s="6"/>
      <c r="E125" s="2"/>
    </row>
    <row r="126" spans="3:5" s="7" customFormat="1" ht="12.75">
      <c r="C126" s="6"/>
      <c r="E126" s="2"/>
    </row>
    <row r="127" spans="3:5" s="7" customFormat="1" ht="12.75">
      <c r="C127" s="6"/>
      <c r="E127" s="2"/>
    </row>
    <row r="128" spans="3:5" s="7" customFormat="1" ht="12.75">
      <c r="C128" s="6"/>
      <c r="E128" s="2"/>
    </row>
    <row r="129" spans="3:5" s="7" customFormat="1" ht="12.75">
      <c r="C129" s="6"/>
      <c r="E129" s="2"/>
    </row>
    <row r="130" spans="3:5" s="7" customFormat="1" ht="12.75">
      <c r="C130" s="6"/>
      <c r="E130" s="2"/>
    </row>
    <row r="131" spans="3:5" s="7" customFormat="1" ht="12.75">
      <c r="C131" s="6"/>
      <c r="E131" s="2"/>
    </row>
    <row r="132" spans="3:5" s="7" customFormat="1" ht="12.75">
      <c r="C132" s="6"/>
      <c r="E132" s="2"/>
    </row>
    <row r="133" spans="3:5" s="7" customFormat="1" ht="12.75">
      <c r="C133" s="6"/>
      <c r="E133" s="2"/>
    </row>
  </sheetData>
  <sheetProtection/>
  <mergeCells count="2">
    <mergeCell ref="C122:E122"/>
    <mergeCell ref="A1:E1"/>
  </mergeCells>
  <printOptions horizontalCentered="1" verticalCentered="1"/>
  <pageMargins left="0.5905511811023623" right="0.5905511811023623" top="0.15748031496062992" bottom="0.1968503937007874" header="0.11811023622047245" footer="0.11811023622047245"/>
  <pageSetup fitToHeight="2" fitToWidth="1" horizontalDpi="600" verticalDpi="6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6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02.00390625" style="0" customWidth="1"/>
    <col min="2" max="2" width="16.125" style="0" customWidth="1"/>
    <col min="3" max="3" width="20.00390625" style="0" customWidth="1"/>
    <col min="4" max="4" width="19.50390625" style="0" customWidth="1"/>
    <col min="5" max="5" width="19.375" style="0" customWidth="1"/>
  </cols>
  <sheetData>
    <row r="1" spans="1:5" ht="17.25">
      <c r="A1" s="308" t="s">
        <v>310</v>
      </c>
      <c r="B1" s="308"/>
      <c r="C1" s="308"/>
      <c r="D1" s="308"/>
      <c r="E1" s="308"/>
    </row>
    <row r="2" spans="1:5" ht="3" customHeight="1" thickBot="1">
      <c r="A2" s="4"/>
      <c r="B2" s="4"/>
      <c r="C2" s="3"/>
      <c r="D2" s="3"/>
      <c r="E2" s="3"/>
    </row>
    <row r="3" spans="1:5" ht="13.5" hidden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256</v>
      </c>
      <c r="C4" s="32" t="s">
        <v>303</v>
      </c>
      <c r="D4" s="19" t="s">
        <v>259</v>
      </c>
      <c r="E4" s="36" t="s">
        <v>258</v>
      </c>
    </row>
    <row r="5" spans="1:5" ht="12.75">
      <c r="A5" s="13">
        <v>1</v>
      </c>
      <c r="B5" s="74"/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8.75" customHeight="1">
      <c r="A7" s="17" t="s">
        <v>45</v>
      </c>
      <c r="B7" s="149">
        <f>SUM(B8)</f>
        <v>27900</v>
      </c>
      <c r="C7" s="149">
        <f>SUM(C8)</f>
        <v>4872.03</v>
      </c>
      <c r="D7" s="26">
        <f aca="true" t="shared" si="0" ref="D7:D90">IF(B7=0,"   ",C7/B7*100)</f>
        <v>17.46247311827957</v>
      </c>
      <c r="E7" s="42">
        <f aca="true" t="shared" si="1" ref="E7:E91">C7-B7</f>
        <v>-23027.97</v>
      </c>
    </row>
    <row r="8" spans="1:5" ht="12.75">
      <c r="A8" s="16" t="s">
        <v>44</v>
      </c>
      <c r="B8" s="84">
        <v>27900</v>
      </c>
      <c r="C8" s="243">
        <v>4872.03</v>
      </c>
      <c r="D8" s="26">
        <f t="shared" si="0"/>
        <v>17.46247311827957</v>
      </c>
      <c r="E8" s="42">
        <f t="shared" si="1"/>
        <v>-23027.97</v>
      </c>
    </row>
    <row r="9" spans="1:5" ht="16.5" customHeight="1">
      <c r="A9" s="64" t="s">
        <v>137</v>
      </c>
      <c r="B9" s="200">
        <f>SUM(B10)</f>
        <v>515900</v>
      </c>
      <c r="C9" s="200">
        <f>SUM(C10)</f>
        <v>223104.85</v>
      </c>
      <c r="D9" s="26">
        <f t="shared" si="0"/>
        <v>43.24575499127738</v>
      </c>
      <c r="E9" s="42">
        <f t="shared" si="1"/>
        <v>-292795.15</v>
      </c>
    </row>
    <row r="10" spans="1:5" ht="12.75">
      <c r="A10" s="41" t="s">
        <v>138</v>
      </c>
      <c r="B10" s="201">
        <v>515900</v>
      </c>
      <c r="C10" s="243">
        <v>223104.85</v>
      </c>
      <c r="D10" s="26">
        <f t="shared" si="0"/>
        <v>43.24575499127738</v>
      </c>
      <c r="E10" s="42">
        <f t="shared" si="1"/>
        <v>-292795.15</v>
      </c>
    </row>
    <row r="11" spans="1:5" ht="16.5" customHeight="1">
      <c r="A11" s="16" t="s">
        <v>7</v>
      </c>
      <c r="B11" s="201">
        <f>SUM(B12:B12)</f>
        <v>0</v>
      </c>
      <c r="C11" s="201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15" customHeight="1">
      <c r="A12" s="16" t="s">
        <v>26</v>
      </c>
      <c r="B12" s="201">
        <v>0</v>
      </c>
      <c r="C12" s="202">
        <v>0</v>
      </c>
      <c r="D12" s="26" t="str">
        <f t="shared" si="0"/>
        <v>   </v>
      </c>
      <c r="E12" s="42">
        <f t="shared" si="1"/>
        <v>0</v>
      </c>
    </row>
    <row r="13" spans="1:5" ht="15" customHeight="1">
      <c r="A13" s="16" t="s">
        <v>9</v>
      </c>
      <c r="B13" s="201">
        <f>SUM(B14:B15)</f>
        <v>253000</v>
      </c>
      <c r="C13" s="201">
        <f>SUM(C14:C15)</f>
        <v>63235.380000000005</v>
      </c>
      <c r="D13" s="26">
        <f t="shared" si="0"/>
        <v>24.99422134387352</v>
      </c>
      <c r="E13" s="42">
        <f t="shared" si="1"/>
        <v>-189764.62</v>
      </c>
    </row>
    <row r="14" spans="1:5" ht="15" customHeight="1">
      <c r="A14" s="16" t="s">
        <v>111</v>
      </c>
      <c r="B14" s="201">
        <v>28000</v>
      </c>
      <c r="C14" s="243">
        <v>20.98</v>
      </c>
      <c r="D14" s="26">
        <f t="shared" si="0"/>
        <v>0.07492857142857143</v>
      </c>
      <c r="E14" s="42">
        <f t="shared" si="1"/>
        <v>-27979.02</v>
      </c>
    </row>
    <row r="15" spans="1:5" ht="15.75" customHeight="1">
      <c r="A15" s="41" t="s">
        <v>161</v>
      </c>
      <c r="B15" s="201">
        <f>SUM(B16:B17)</f>
        <v>225000</v>
      </c>
      <c r="C15" s="201">
        <f>SUM(C16:C17)</f>
        <v>63214.4</v>
      </c>
      <c r="D15" s="26">
        <f t="shared" si="0"/>
        <v>28.09528888888889</v>
      </c>
      <c r="E15" s="42">
        <f t="shared" si="1"/>
        <v>-161785.6</v>
      </c>
    </row>
    <row r="16" spans="1:5" ht="15.75" customHeight="1">
      <c r="A16" s="41" t="s">
        <v>162</v>
      </c>
      <c r="B16" s="201">
        <v>136000</v>
      </c>
      <c r="C16" s="243">
        <v>45717</v>
      </c>
      <c r="D16" s="26">
        <f t="shared" si="0"/>
        <v>33.61544117647059</v>
      </c>
      <c r="E16" s="42">
        <f t="shared" si="1"/>
        <v>-90283</v>
      </c>
    </row>
    <row r="17" spans="1:5" ht="15.75" customHeight="1">
      <c r="A17" s="41" t="s">
        <v>163</v>
      </c>
      <c r="B17" s="201">
        <v>89000</v>
      </c>
      <c r="C17" s="243">
        <v>17497.4</v>
      </c>
      <c r="D17" s="26">
        <f t="shared" si="0"/>
        <v>19.660000000000004</v>
      </c>
      <c r="E17" s="42">
        <f t="shared" si="1"/>
        <v>-71502.6</v>
      </c>
    </row>
    <row r="18" spans="1:5" ht="15.75" customHeight="1">
      <c r="A18" s="41" t="s">
        <v>197</v>
      </c>
      <c r="B18" s="201">
        <v>0</v>
      </c>
      <c r="C18" s="202">
        <v>0</v>
      </c>
      <c r="D18" s="26" t="str">
        <f t="shared" si="0"/>
        <v>   </v>
      </c>
      <c r="E18" s="42">
        <f t="shared" si="1"/>
        <v>0</v>
      </c>
    </row>
    <row r="19" spans="1:5" ht="28.5" customHeight="1">
      <c r="A19" s="16" t="s">
        <v>89</v>
      </c>
      <c r="B19" s="201">
        <v>0</v>
      </c>
      <c r="C19" s="201">
        <v>0</v>
      </c>
      <c r="D19" s="26" t="str">
        <f t="shared" si="0"/>
        <v>   </v>
      </c>
      <c r="E19" s="42">
        <f t="shared" si="1"/>
        <v>0</v>
      </c>
    </row>
    <row r="20" spans="1:5" ht="25.5" customHeight="1">
      <c r="A20" s="16" t="s">
        <v>28</v>
      </c>
      <c r="B20" s="201">
        <f>SUM(B21:B23)</f>
        <v>230300</v>
      </c>
      <c r="C20" s="201">
        <f>SUM(C21:C23)</f>
        <v>3082.2</v>
      </c>
      <c r="D20" s="26">
        <f t="shared" si="0"/>
        <v>1.3383412939643942</v>
      </c>
      <c r="E20" s="42">
        <f t="shared" si="1"/>
        <v>-227217.8</v>
      </c>
    </row>
    <row r="21" spans="1:5" ht="12.75">
      <c r="A21" s="16" t="s">
        <v>151</v>
      </c>
      <c r="B21" s="201">
        <v>0</v>
      </c>
      <c r="C21" s="202">
        <v>0</v>
      </c>
      <c r="D21" s="26" t="str">
        <f t="shared" si="0"/>
        <v>   </v>
      </c>
      <c r="E21" s="42">
        <f t="shared" si="1"/>
        <v>0</v>
      </c>
    </row>
    <row r="22" spans="1:5" ht="26.25">
      <c r="A22" s="16" t="s">
        <v>277</v>
      </c>
      <c r="B22" s="201">
        <v>3000</v>
      </c>
      <c r="C22" s="202">
        <v>3068</v>
      </c>
      <c r="D22" s="26">
        <f>IF(B22=0,"   ",C22/B22*100)</f>
        <v>102.26666666666667</v>
      </c>
      <c r="E22" s="42">
        <f>C22-B22</f>
        <v>68</v>
      </c>
    </row>
    <row r="23" spans="1:5" ht="16.5" customHeight="1">
      <c r="A23" s="41" t="s">
        <v>152</v>
      </c>
      <c r="B23" s="201">
        <v>227300</v>
      </c>
      <c r="C23" s="202">
        <v>14.2</v>
      </c>
      <c r="D23" s="26">
        <f t="shared" si="0"/>
        <v>0.006247250329960404</v>
      </c>
      <c r="E23" s="42">
        <f t="shared" si="1"/>
        <v>-227285.8</v>
      </c>
    </row>
    <row r="24" spans="1:5" ht="17.25" customHeight="1">
      <c r="A24" s="39" t="s">
        <v>91</v>
      </c>
      <c r="B24" s="201">
        <v>0</v>
      </c>
      <c r="C24" s="202">
        <v>0</v>
      </c>
      <c r="D24" s="26" t="str">
        <f t="shared" si="0"/>
        <v>   </v>
      </c>
      <c r="E24" s="42">
        <f t="shared" si="1"/>
        <v>0</v>
      </c>
    </row>
    <row r="25" spans="1:5" ht="14.25" customHeight="1">
      <c r="A25" s="16" t="s">
        <v>78</v>
      </c>
      <c r="B25" s="201">
        <f>SUM(B26)</f>
        <v>0</v>
      </c>
      <c r="C25" s="201">
        <f>SUM(C26)</f>
        <v>0</v>
      </c>
      <c r="D25" s="26" t="str">
        <f t="shared" si="0"/>
        <v>   </v>
      </c>
      <c r="E25" s="42">
        <f t="shared" si="1"/>
        <v>0</v>
      </c>
    </row>
    <row r="26" spans="1:5" ht="27" customHeight="1">
      <c r="A26" s="16" t="s">
        <v>169</v>
      </c>
      <c r="B26" s="200">
        <v>0</v>
      </c>
      <c r="C26" s="202">
        <v>0</v>
      </c>
      <c r="D26" s="26" t="str">
        <f t="shared" si="0"/>
        <v>   </v>
      </c>
      <c r="E26" s="42">
        <f t="shared" si="1"/>
        <v>0</v>
      </c>
    </row>
    <row r="27" spans="1:5" ht="15.75" customHeight="1">
      <c r="A27" s="16" t="s">
        <v>32</v>
      </c>
      <c r="B27" s="201">
        <f>SUM(B29)</f>
        <v>0</v>
      </c>
      <c r="C27" s="201">
        <f>C29+C28</f>
        <v>0</v>
      </c>
      <c r="D27" s="26" t="str">
        <f t="shared" si="0"/>
        <v>   </v>
      </c>
      <c r="E27" s="42">
        <f t="shared" si="1"/>
        <v>0</v>
      </c>
    </row>
    <row r="28" spans="1:5" ht="15.75" customHeight="1">
      <c r="A28" s="16" t="s">
        <v>126</v>
      </c>
      <c r="B28" s="201">
        <v>0</v>
      </c>
      <c r="C28" s="201">
        <v>0</v>
      </c>
      <c r="D28" s="26"/>
      <c r="E28" s="42">
        <f t="shared" si="1"/>
        <v>0</v>
      </c>
    </row>
    <row r="29" spans="1:5" ht="17.25" customHeight="1">
      <c r="A29" s="16" t="s">
        <v>50</v>
      </c>
      <c r="B29" s="201">
        <v>0</v>
      </c>
      <c r="C29" s="202">
        <v>0</v>
      </c>
      <c r="D29" s="26" t="str">
        <f t="shared" si="0"/>
        <v>   </v>
      </c>
      <c r="E29" s="42">
        <f t="shared" si="1"/>
        <v>0</v>
      </c>
    </row>
    <row r="30" spans="1:5" ht="24" customHeight="1">
      <c r="A30" s="173" t="s">
        <v>10</v>
      </c>
      <c r="B30" s="175">
        <f>B7+B11+B13+B20+B24+B25+B27+B9+B19+B18</f>
        <v>1027100</v>
      </c>
      <c r="C30" s="175">
        <f>C7+C11+C13+C20+C24+C25+C27+C9+C19+C18</f>
        <v>294294.46</v>
      </c>
      <c r="D30" s="141">
        <f t="shared" si="0"/>
        <v>28.65295102716386</v>
      </c>
      <c r="E30" s="142">
        <f t="shared" si="1"/>
        <v>-732805.54</v>
      </c>
    </row>
    <row r="31" spans="1:5" ht="21" customHeight="1">
      <c r="A31" s="181" t="s">
        <v>140</v>
      </c>
      <c r="B31" s="189">
        <f>SUM(B32:B35,B38,B39,B42+B43+B44)</f>
        <v>1970400</v>
      </c>
      <c r="C31" s="189">
        <f>SUM(C32:C35,C38,C39,C42+C43+C44)</f>
        <v>575633</v>
      </c>
      <c r="D31" s="141">
        <f t="shared" si="0"/>
        <v>29.214017458384085</v>
      </c>
      <c r="E31" s="142">
        <f t="shared" si="1"/>
        <v>-1394767</v>
      </c>
    </row>
    <row r="32" spans="1:5" ht="15.75" customHeight="1">
      <c r="A32" s="17" t="s">
        <v>34</v>
      </c>
      <c r="B32" s="160">
        <v>876800</v>
      </c>
      <c r="C32" s="243">
        <v>438600</v>
      </c>
      <c r="D32" s="26">
        <f t="shared" si="0"/>
        <v>50.022810218978094</v>
      </c>
      <c r="E32" s="42">
        <f t="shared" si="1"/>
        <v>-438200</v>
      </c>
    </row>
    <row r="33" spans="1:5" ht="15.75" customHeight="1">
      <c r="A33" s="17" t="s">
        <v>232</v>
      </c>
      <c r="B33" s="160">
        <v>0</v>
      </c>
      <c r="C33" s="243">
        <v>0</v>
      </c>
      <c r="D33" s="26" t="str">
        <f>IF(B33=0,"   ",C33/B33*100)</f>
        <v>   </v>
      </c>
      <c r="E33" s="42">
        <f>C33-B33</f>
        <v>0</v>
      </c>
    </row>
    <row r="34" spans="1:5" ht="26.25" customHeight="1">
      <c r="A34" s="134" t="s">
        <v>51</v>
      </c>
      <c r="B34" s="135">
        <v>90300</v>
      </c>
      <c r="C34" s="237">
        <v>40200</v>
      </c>
      <c r="D34" s="136">
        <f t="shared" si="0"/>
        <v>44.518272425249165</v>
      </c>
      <c r="E34" s="137">
        <f t="shared" si="1"/>
        <v>-50100</v>
      </c>
    </row>
    <row r="35" spans="1:5" ht="29.25" customHeight="1">
      <c r="A35" s="109" t="s">
        <v>148</v>
      </c>
      <c r="B35" s="201">
        <f>SUM(B36:B37)</f>
        <v>6600</v>
      </c>
      <c r="C35" s="201">
        <f>SUM(C36:C37)</f>
        <v>0</v>
      </c>
      <c r="D35" s="26">
        <f t="shared" si="0"/>
        <v>0</v>
      </c>
      <c r="E35" s="42">
        <f t="shared" si="1"/>
        <v>-6600</v>
      </c>
    </row>
    <row r="36" spans="1:5" ht="14.25" customHeight="1">
      <c r="A36" s="109" t="s">
        <v>164</v>
      </c>
      <c r="B36" s="201">
        <v>0</v>
      </c>
      <c r="C36" s="202">
        <v>0</v>
      </c>
      <c r="D36" s="26" t="str">
        <f>IF(B36=0,"   ",C36/B36*100)</f>
        <v>   </v>
      </c>
      <c r="E36" s="42">
        <f>C36-B36</f>
        <v>0</v>
      </c>
    </row>
    <row r="37" spans="1:5" ht="29.25" customHeight="1">
      <c r="A37" s="109" t="s">
        <v>165</v>
      </c>
      <c r="B37" s="201">
        <v>6600</v>
      </c>
      <c r="C37" s="202">
        <v>0</v>
      </c>
      <c r="D37" s="26">
        <f>IF(B37=0,"   ",C37/B37*100)</f>
        <v>0</v>
      </c>
      <c r="E37" s="42">
        <f>C37-B37</f>
        <v>-6600</v>
      </c>
    </row>
    <row r="38" spans="1:5" ht="54.75" customHeight="1">
      <c r="A38" s="16" t="s">
        <v>241</v>
      </c>
      <c r="B38" s="201">
        <v>491300</v>
      </c>
      <c r="C38" s="202">
        <v>0</v>
      </c>
      <c r="D38" s="26">
        <f>IF(B38=0,"   ",C38/B38*100)</f>
        <v>0</v>
      </c>
      <c r="E38" s="42">
        <f>C38-B38</f>
        <v>-491300</v>
      </c>
    </row>
    <row r="39" spans="1:5" ht="18" customHeight="1">
      <c r="A39" s="16" t="s">
        <v>82</v>
      </c>
      <c r="B39" s="201">
        <f>B41+B40</f>
        <v>505400</v>
      </c>
      <c r="C39" s="201">
        <f>C41+C40</f>
        <v>96833</v>
      </c>
      <c r="D39" s="26">
        <f t="shared" si="0"/>
        <v>19.15967550455085</v>
      </c>
      <c r="E39" s="42">
        <f t="shared" si="1"/>
        <v>-408567</v>
      </c>
    </row>
    <row r="40" spans="1:5" ht="27" customHeight="1">
      <c r="A40" s="46" t="s">
        <v>189</v>
      </c>
      <c r="B40" s="201">
        <v>185900</v>
      </c>
      <c r="C40" s="201">
        <v>0</v>
      </c>
      <c r="D40" s="26">
        <f>IF(B40=0,"   ",C40/B40*100)</f>
        <v>0</v>
      </c>
      <c r="E40" s="42">
        <f>C40-B40</f>
        <v>-185900</v>
      </c>
    </row>
    <row r="41" spans="1:5" ht="17.25" customHeight="1">
      <c r="A41" s="16" t="s">
        <v>109</v>
      </c>
      <c r="B41" s="201">
        <v>319500</v>
      </c>
      <c r="C41" s="201">
        <v>96833</v>
      </c>
      <c r="D41" s="26">
        <f t="shared" si="0"/>
        <v>30.307668231611895</v>
      </c>
      <c r="E41" s="42">
        <f t="shared" si="1"/>
        <v>-222667</v>
      </c>
    </row>
    <row r="42" spans="1:5" ht="17.25" customHeight="1">
      <c r="A42" s="16" t="s">
        <v>171</v>
      </c>
      <c r="B42" s="201">
        <v>0</v>
      </c>
      <c r="C42" s="201">
        <v>0</v>
      </c>
      <c r="D42" s="26" t="str">
        <f t="shared" si="0"/>
        <v>   </v>
      </c>
      <c r="E42" s="42">
        <f t="shared" si="1"/>
        <v>0</v>
      </c>
    </row>
    <row r="43" spans="1:5" s="7" customFormat="1" ht="42" customHeight="1">
      <c r="A43" s="16" t="s">
        <v>103</v>
      </c>
      <c r="B43" s="201">
        <v>0</v>
      </c>
      <c r="C43" s="202">
        <v>0</v>
      </c>
      <c r="D43" s="26" t="str">
        <f t="shared" si="0"/>
        <v>   </v>
      </c>
      <c r="E43" s="40">
        <f t="shared" si="1"/>
        <v>0</v>
      </c>
    </row>
    <row r="44" spans="1:5" s="7" customFormat="1" ht="21" customHeight="1">
      <c r="A44" s="16" t="s">
        <v>200</v>
      </c>
      <c r="B44" s="201">
        <v>0</v>
      </c>
      <c r="C44" s="202">
        <v>0</v>
      </c>
      <c r="D44" s="26" t="str">
        <f t="shared" si="0"/>
        <v>   </v>
      </c>
      <c r="E44" s="40">
        <f t="shared" si="1"/>
        <v>0</v>
      </c>
    </row>
    <row r="45" spans="1:5" ht="26.25" customHeight="1">
      <c r="A45" s="173" t="s">
        <v>11</v>
      </c>
      <c r="B45" s="150">
        <f>SUM(B30,B31,)</f>
        <v>2997500</v>
      </c>
      <c r="C45" s="150">
        <f>SUM(C30,C31,)</f>
        <v>869927.46</v>
      </c>
      <c r="D45" s="141">
        <f t="shared" si="0"/>
        <v>29.02176680567139</v>
      </c>
      <c r="E45" s="142">
        <f t="shared" si="1"/>
        <v>-2127572.54</v>
      </c>
    </row>
    <row r="46" spans="1:5" ht="14.25" customHeight="1">
      <c r="A46" s="30"/>
      <c r="B46" s="160"/>
      <c r="C46" s="152"/>
      <c r="D46" s="26" t="str">
        <f t="shared" si="0"/>
        <v>   </v>
      </c>
      <c r="E46" s="42"/>
    </row>
    <row r="47" spans="1:5" ht="12.75">
      <c r="A47" s="22" t="s">
        <v>12</v>
      </c>
      <c r="B47" s="44"/>
      <c r="C47" s="45"/>
      <c r="D47" s="26" t="str">
        <f t="shared" si="0"/>
        <v>   </v>
      </c>
      <c r="E47" s="42"/>
    </row>
    <row r="48" spans="1:5" ht="18.75" customHeight="1">
      <c r="A48" s="16" t="s">
        <v>35</v>
      </c>
      <c r="B48" s="27">
        <f>SUM(B49,B52,B53)</f>
        <v>1127100</v>
      </c>
      <c r="C48" s="27">
        <f>SUM(C49,C53)</f>
        <v>402714.05</v>
      </c>
      <c r="D48" s="26">
        <f t="shared" si="0"/>
        <v>35.73010824239198</v>
      </c>
      <c r="E48" s="42">
        <f t="shared" si="1"/>
        <v>-724385.95</v>
      </c>
    </row>
    <row r="49" spans="1:5" ht="16.5" customHeight="1">
      <c r="A49" s="16" t="s">
        <v>36</v>
      </c>
      <c r="B49" s="25">
        <v>1126600</v>
      </c>
      <c r="C49" s="25">
        <v>402714.05</v>
      </c>
      <c r="D49" s="26">
        <f t="shared" si="0"/>
        <v>35.74596573761761</v>
      </c>
      <c r="E49" s="42">
        <f t="shared" si="1"/>
        <v>-723885.95</v>
      </c>
    </row>
    <row r="50" spans="1:5" ht="12.75">
      <c r="A50" s="85" t="s">
        <v>122</v>
      </c>
      <c r="B50" s="25">
        <v>765438</v>
      </c>
      <c r="C50" s="28">
        <v>280266.09</v>
      </c>
      <c r="D50" s="26">
        <f t="shared" si="0"/>
        <v>36.61512624144608</v>
      </c>
      <c r="E50" s="42">
        <f t="shared" si="1"/>
        <v>-485171.91</v>
      </c>
    </row>
    <row r="51" spans="1:5" ht="12.75">
      <c r="A51" s="85" t="s">
        <v>293</v>
      </c>
      <c r="B51" s="25">
        <v>0</v>
      </c>
      <c r="C51" s="28">
        <v>0</v>
      </c>
      <c r="D51" s="26" t="str">
        <f>IF(B51=0,"   ",C51/B51*100)</f>
        <v>   </v>
      </c>
      <c r="E51" s="42">
        <f>C51-B51</f>
        <v>0</v>
      </c>
    </row>
    <row r="52" spans="1:5" ht="12.75">
      <c r="A52" s="16" t="s">
        <v>102</v>
      </c>
      <c r="B52" s="25">
        <v>500</v>
      </c>
      <c r="C52" s="27">
        <v>0</v>
      </c>
      <c r="D52" s="26">
        <f t="shared" si="0"/>
        <v>0</v>
      </c>
      <c r="E52" s="42">
        <f t="shared" si="1"/>
        <v>-500</v>
      </c>
    </row>
    <row r="53" spans="1:5" ht="12.75">
      <c r="A53" s="16" t="s">
        <v>52</v>
      </c>
      <c r="B53" s="27">
        <f>SUM(B54)</f>
        <v>0</v>
      </c>
      <c r="C53" s="27">
        <f>SUM(C54)</f>
        <v>0</v>
      </c>
      <c r="D53" s="26" t="str">
        <f t="shared" si="0"/>
        <v>   </v>
      </c>
      <c r="E53" s="42">
        <f t="shared" si="1"/>
        <v>0</v>
      </c>
    </row>
    <row r="54" spans="1:5" ht="26.25">
      <c r="A54" s="105" t="s">
        <v>247</v>
      </c>
      <c r="B54" s="25">
        <v>0</v>
      </c>
      <c r="C54" s="27">
        <v>0</v>
      </c>
      <c r="D54" s="26" t="str">
        <f t="shared" si="0"/>
        <v>   </v>
      </c>
      <c r="E54" s="42">
        <f t="shared" si="1"/>
        <v>0</v>
      </c>
    </row>
    <row r="55" spans="1:5" ht="19.5" customHeight="1">
      <c r="A55" s="16" t="s">
        <v>49</v>
      </c>
      <c r="B55" s="27">
        <f>SUM(B56)</f>
        <v>90300</v>
      </c>
      <c r="C55" s="27">
        <f>SUM(C56)</f>
        <v>39746.63</v>
      </c>
      <c r="D55" s="26">
        <f t="shared" si="0"/>
        <v>44.0162015503876</v>
      </c>
      <c r="E55" s="42">
        <f t="shared" si="1"/>
        <v>-50553.37</v>
      </c>
    </row>
    <row r="56" spans="1:5" ht="19.5" customHeight="1">
      <c r="A56" s="16" t="s">
        <v>107</v>
      </c>
      <c r="B56" s="25">
        <v>90300</v>
      </c>
      <c r="C56" s="27">
        <v>39746.63</v>
      </c>
      <c r="D56" s="26">
        <f t="shared" si="0"/>
        <v>44.0162015503876</v>
      </c>
      <c r="E56" s="42">
        <f t="shared" si="1"/>
        <v>-50553.37</v>
      </c>
    </row>
    <row r="57" spans="1:5" ht="16.5" customHeight="1">
      <c r="A57" s="16" t="s">
        <v>37</v>
      </c>
      <c r="B57" s="25">
        <f>SUM(B58)</f>
        <v>1000</v>
      </c>
      <c r="C57" s="27">
        <f>SUM(C58)</f>
        <v>1000</v>
      </c>
      <c r="D57" s="26">
        <f t="shared" si="0"/>
        <v>100</v>
      </c>
      <c r="E57" s="42">
        <f t="shared" si="1"/>
        <v>0</v>
      </c>
    </row>
    <row r="58" spans="1:5" ht="15" customHeight="1">
      <c r="A58" s="41" t="s">
        <v>128</v>
      </c>
      <c r="B58" s="25">
        <v>1000</v>
      </c>
      <c r="C58" s="27">
        <v>1000</v>
      </c>
      <c r="D58" s="26">
        <f t="shared" si="0"/>
        <v>100</v>
      </c>
      <c r="E58" s="42">
        <f t="shared" si="1"/>
        <v>0</v>
      </c>
    </row>
    <row r="59" spans="1:5" ht="19.5" customHeight="1">
      <c r="A59" s="16" t="s">
        <v>38</v>
      </c>
      <c r="B59" s="25">
        <f>B63+B60+B71</f>
        <v>1438241.55</v>
      </c>
      <c r="C59" s="25">
        <f>C63+C60+C71</f>
        <v>107592</v>
      </c>
      <c r="D59" s="26">
        <f t="shared" si="0"/>
        <v>7.480801816635043</v>
      </c>
      <c r="E59" s="42">
        <f t="shared" si="1"/>
        <v>-1330649.55</v>
      </c>
    </row>
    <row r="60" spans="1:5" ht="19.5" customHeight="1">
      <c r="A60" s="75" t="s">
        <v>166</v>
      </c>
      <c r="B60" s="25">
        <f>SUM(B62,B61)</f>
        <v>6600</v>
      </c>
      <c r="C60" s="25">
        <f>SUM(C62,C61)</f>
        <v>0</v>
      </c>
      <c r="D60" s="26">
        <f>IF(B60=0,"   ",C60/B60*100)</f>
        <v>0</v>
      </c>
      <c r="E60" s="42">
        <f>C60-B60</f>
        <v>-6600</v>
      </c>
    </row>
    <row r="61" spans="1:5" ht="15" customHeight="1">
      <c r="A61" s="75" t="s">
        <v>170</v>
      </c>
      <c r="B61" s="25">
        <v>0</v>
      </c>
      <c r="C61" s="25">
        <v>0</v>
      </c>
      <c r="D61" s="26" t="str">
        <f>IF(B61=0,"   ",C61/B61*100)</f>
        <v>   </v>
      </c>
      <c r="E61" s="42">
        <f>C61-B61</f>
        <v>0</v>
      </c>
    </row>
    <row r="62" spans="1:5" ht="13.5" customHeight="1">
      <c r="A62" s="75" t="s">
        <v>167</v>
      </c>
      <c r="B62" s="25">
        <v>6600</v>
      </c>
      <c r="C62" s="25">
        <v>0</v>
      </c>
      <c r="D62" s="26">
        <f>IF(B62=0,"   ",C62/B62*100)</f>
        <v>0</v>
      </c>
      <c r="E62" s="42">
        <f>C62-B62</f>
        <v>-6600</v>
      </c>
    </row>
    <row r="63" spans="1:5" ht="12.75">
      <c r="A63" s="96" t="s">
        <v>131</v>
      </c>
      <c r="B63" s="25">
        <f>SUM(B64:B70)</f>
        <v>1391741.55</v>
      </c>
      <c r="C63" s="25">
        <f>SUM(C64:C70)</f>
        <v>107592</v>
      </c>
      <c r="D63" s="26">
        <f t="shared" si="0"/>
        <v>7.730745697719523</v>
      </c>
      <c r="E63" s="42">
        <f t="shared" si="1"/>
        <v>-1284149.55</v>
      </c>
    </row>
    <row r="64" spans="1:5" ht="19.5" customHeight="1">
      <c r="A64" s="75" t="s">
        <v>149</v>
      </c>
      <c r="B64" s="25">
        <v>0</v>
      </c>
      <c r="C64" s="25">
        <v>0</v>
      </c>
      <c r="D64" s="26" t="str">
        <f t="shared" si="0"/>
        <v>   </v>
      </c>
      <c r="E64" s="42">
        <f t="shared" si="1"/>
        <v>0</v>
      </c>
    </row>
    <row r="65" spans="1:5" ht="25.5" customHeight="1">
      <c r="A65" s="71" t="s">
        <v>262</v>
      </c>
      <c r="B65" s="25">
        <v>442341.55</v>
      </c>
      <c r="C65" s="25">
        <v>0</v>
      </c>
      <c r="D65" s="26">
        <f t="shared" si="0"/>
        <v>0</v>
      </c>
      <c r="E65" s="42">
        <f t="shared" si="1"/>
        <v>-442341.55</v>
      </c>
    </row>
    <row r="66" spans="1:5" ht="27.75" customHeight="1">
      <c r="A66" s="71" t="s">
        <v>263</v>
      </c>
      <c r="B66" s="25">
        <v>48500</v>
      </c>
      <c r="C66" s="25">
        <v>0</v>
      </c>
      <c r="D66" s="26">
        <f t="shared" si="0"/>
        <v>0</v>
      </c>
      <c r="E66" s="42">
        <f t="shared" si="1"/>
        <v>-48500</v>
      </c>
    </row>
    <row r="67" spans="1:5" ht="31.5" customHeight="1">
      <c r="A67" s="71" t="s">
        <v>264</v>
      </c>
      <c r="B67" s="25">
        <v>491300</v>
      </c>
      <c r="C67" s="25">
        <v>0</v>
      </c>
      <c r="D67" s="26">
        <f t="shared" si="0"/>
        <v>0</v>
      </c>
      <c r="E67" s="42">
        <f t="shared" si="1"/>
        <v>-491300</v>
      </c>
    </row>
    <row r="68" spans="1:5" ht="27.75" customHeight="1">
      <c r="A68" s="71" t="s">
        <v>265</v>
      </c>
      <c r="B68" s="25">
        <v>54600</v>
      </c>
      <c r="C68" s="25">
        <v>0</v>
      </c>
      <c r="D68" s="26">
        <f t="shared" si="0"/>
        <v>0</v>
      </c>
      <c r="E68" s="42">
        <f t="shared" si="1"/>
        <v>-54600</v>
      </c>
    </row>
    <row r="69" spans="1:5" ht="28.5" customHeight="1">
      <c r="A69" s="71" t="s">
        <v>266</v>
      </c>
      <c r="B69" s="25">
        <v>319500</v>
      </c>
      <c r="C69" s="25">
        <v>96833</v>
      </c>
      <c r="D69" s="26">
        <f t="shared" si="0"/>
        <v>30.307668231611895</v>
      </c>
      <c r="E69" s="42">
        <f t="shared" si="1"/>
        <v>-222667</v>
      </c>
    </row>
    <row r="70" spans="1:5" ht="30" customHeight="1">
      <c r="A70" s="71" t="s">
        <v>267</v>
      </c>
      <c r="B70" s="25">
        <v>35500</v>
      </c>
      <c r="C70" s="25">
        <v>10759</v>
      </c>
      <c r="D70" s="26">
        <f t="shared" si="0"/>
        <v>30.30704225352113</v>
      </c>
      <c r="E70" s="42">
        <f t="shared" si="1"/>
        <v>-24741</v>
      </c>
    </row>
    <row r="71" spans="1:5" ht="24" customHeight="1">
      <c r="A71" s="96" t="s">
        <v>178</v>
      </c>
      <c r="B71" s="25">
        <f>SUM(B72)</f>
        <v>39900</v>
      </c>
      <c r="C71" s="25">
        <f>SUM(C72)</f>
        <v>0</v>
      </c>
      <c r="D71" s="26">
        <f>IF(B71=0,"   ",C71/B71*100)</f>
        <v>0</v>
      </c>
      <c r="E71" s="42">
        <f>C71-B71</f>
        <v>-39900</v>
      </c>
    </row>
    <row r="72" spans="1:5" ht="30" customHeight="1">
      <c r="A72" s="75" t="s">
        <v>179</v>
      </c>
      <c r="B72" s="25">
        <v>39900</v>
      </c>
      <c r="C72" s="25">
        <v>0</v>
      </c>
      <c r="D72" s="26">
        <f>IF(B72=0,"   ",C72/B72*100)</f>
        <v>0</v>
      </c>
      <c r="E72" s="42">
        <f>C72-B72</f>
        <v>-39900</v>
      </c>
    </row>
    <row r="73" spans="1:5" ht="15" customHeight="1">
      <c r="A73" s="16" t="s">
        <v>13</v>
      </c>
      <c r="B73" s="25">
        <f>SUM(B76,B74)</f>
        <v>328518.75</v>
      </c>
      <c r="C73" s="25">
        <f>SUM(C76,C74)</f>
        <v>67998.28</v>
      </c>
      <c r="D73" s="26">
        <f t="shared" si="0"/>
        <v>20.698447196697295</v>
      </c>
      <c r="E73" s="42">
        <f t="shared" si="1"/>
        <v>-260520.47</v>
      </c>
    </row>
    <row r="74" spans="1:5" ht="15.75" customHeight="1">
      <c r="A74" s="16" t="s">
        <v>90</v>
      </c>
      <c r="B74" s="25">
        <f>B75</f>
        <v>0</v>
      </c>
      <c r="C74" s="25">
        <f>C75</f>
        <v>0</v>
      </c>
      <c r="D74" s="26" t="str">
        <f>IF(B74=0,"   ",C74/B74*100)</f>
        <v>   </v>
      </c>
      <c r="E74" s="42">
        <f>C74-B74</f>
        <v>0</v>
      </c>
    </row>
    <row r="75" spans="1:5" ht="25.5" customHeight="1">
      <c r="A75" s="156" t="s">
        <v>142</v>
      </c>
      <c r="B75" s="25">
        <v>0</v>
      </c>
      <c r="C75" s="25">
        <v>0</v>
      </c>
      <c r="D75" s="26" t="str">
        <f>IF(B75=0,"   ",C75/B75*100)</f>
        <v>   </v>
      </c>
      <c r="E75" s="42">
        <f>C75-B75</f>
        <v>0</v>
      </c>
    </row>
    <row r="76" spans="1:5" ht="12.75">
      <c r="A76" s="16" t="s">
        <v>58</v>
      </c>
      <c r="B76" s="25">
        <f>B77+B79+B78+B80</f>
        <v>328518.75</v>
      </c>
      <c r="C76" s="25">
        <f>C77+C79+C78+C80</f>
        <v>67998.28</v>
      </c>
      <c r="D76" s="26">
        <f t="shared" si="0"/>
        <v>20.698447196697295</v>
      </c>
      <c r="E76" s="42">
        <f t="shared" si="1"/>
        <v>-260520.47</v>
      </c>
    </row>
    <row r="77" spans="1:5" ht="12.75">
      <c r="A77" s="16" t="s">
        <v>60</v>
      </c>
      <c r="B77" s="25">
        <v>140000</v>
      </c>
      <c r="C77" s="27">
        <v>67998.28</v>
      </c>
      <c r="D77" s="26">
        <f t="shared" si="0"/>
        <v>48.5702</v>
      </c>
      <c r="E77" s="42">
        <f t="shared" si="1"/>
        <v>-72001.72</v>
      </c>
    </row>
    <row r="78" spans="1:5" ht="26.25">
      <c r="A78" s="105" t="s">
        <v>168</v>
      </c>
      <c r="B78" s="25">
        <v>0</v>
      </c>
      <c r="C78" s="27">
        <v>0</v>
      </c>
      <c r="D78" s="26" t="str">
        <f t="shared" si="0"/>
        <v>   </v>
      </c>
      <c r="E78" s="42">
        <f t="shared" si="1"/>
        <v>0</v>
      </c>
    </row>
    <row r="79" spans="1:5" ht="12.75">
      <c r="A79" s="16" t="s">
        <v>59</v>
      </c>
      <c r="B79" s="25">
        <v>2618.75</v>
      </c>
      <c r="C79" s="27">
        <v>0</v>
      </c>
      <c r="D79" s="26">
        <f t="shared" si="0"/>
        <v>0</v>
      </c>
      <c r="E79" s="42">
        <f t="shared" si="1"/>
        <v>-2618.75</v>
      </c>
    </row>
    <row r="80" spans="1:5" ht="26.25">
      <c r="A80" s="105" t="s">
        <v>207</v>
      </c>
      <c r="B80" s="25">
        <f>B81+B82+B83</f>
        <v>185900</v>
      </c>
      <c r="C80" s="25">
        <f>C81+C82+C83</f>
        <v>0</v>
      </c>
      <c r="D80" s="26">
        <f>IF(B80=0,"   ",C80/B80*100)</f>
        <v>0</v>
      </c>
      <c r="E80" s="42">
        <f>C80-B80</f>
        <v>-185900</v>
      </c>
    </row>
    <row r="81" spans="1:5" ht="26.25">
      <c r="A81" s="105" t="s">
        <v>188</v>
      </c>
      <c r="B81" s="25">
        <v>185900</v>
      </c>
      <c r="C81" s="27">
        <v>0</v>
      </c>
      <c r="D81" s="26">
        <f>IF(B81=0,"   ",C81/B81*100)</f>
        <v>0</v>
      </c>
      <c r="E81" s="42">
        <f>C81-B81</f>
        <v>-185900</v>
      </c>
    </row>
    <row r="82" spans="1:5" ht="26.25">
      <c r="A82" s="105" t="s">
        <v>201</v>
      </c>
      <c r="B82" s="25">
        <v>0</v>
      </c>
      <c r="C82" s="27">
        <v>0</v>
      </c>
      <c r="D82" s="26" t="str">
        <f>IF(B82=0,"   ",C82/B82*100)</f>
        <v>   </v>
      </c>
      <c r="E82" s="42">
        <f>C82-B82</f>
        <v>0</v>
      </c>
    </row>
    <row r="83" spans="1:5" ht="24.75" customHeight="1">
      <c r="A83" s="105" t="s">
        <v>213</v>
      </c>
      <c r="B83" s="31">
        <v>0</v>
      </c>
      <c r="C83" s="31">
        <v>0</v>
      </c>
      <c r="D83" s="26" t="str">
        <f t="shared" si="0"/>
        <v>   </v>
      </c>
      <c r="E83" s="42">
        <f t="shared" si="1"/>
        <v>0</v>
      </c>
    </row>
    <row r="84" spans="1:5" ht="24.75" customHeight="1">
      <c r="A84" s="18" t="s">
        <v>17</v>
      </c>
      <c r="B84" s="31">
        <v>8000</v>
      </c>
      <c r="C84" s="31">
        <v>0</v>
      </c>
      <c r="D84" s="26">
        <f t="shared" si="0"/>
        <v>0</v>
      </c>
      <c r="E84" s="42">
        <f t="shared" si="1"/>
        <v>-8000</v>
      </c>
    </row>
    <row r="85" spans="1:5" ht="15" customHeight="1">
      <c r="A85" s="16" t="s">
        <v>41</v>
      </c>
      <c r="B85" s="24">
        <f>SUM(B86,)</f>
        <v>50000</v>
      </c>
      <c r="C85" s="24">
        <f>SUM(C86,)</f>
        <v>29800</v>
      </c>
      <c r="D85" s="26">
        <f t="shared" si="0"/>
        <v>59.599999999999994</v>
      </c>
      <c r="E85" s="42">
        <f t="shared" si="1"/>
        <v>-20200</v>
      </c>
    </row>
    <row r="86" spans="1:5" ht="12.75">
      <c r="A86" s="16" t="s">
        <v>42</v>
      </c>
      <c r="B86" s="25">
        <v>50000</v>
      </c>
      <c r="C86" s="27">
        <v>29800</v>
      </c>
      <c r="D86" s="26">
        <f t="shared" si="0"/>
        <v>59.599999999999994</v>
      </c>
      <c r="E86" s="42">
        <f t="shared" si="1"/>
        <v>-20200</v>
      </c>
    </row>
    <row r="87" spans="1:5" ht="12.75">
      <c r="A87" s="16" t="s">
        <v>236</v>
      </c>
      <c r="B87" s="24">
        <f>SUM(B88,)</f>
        <v>6000</v>
      </c>
      <c r="C87" s="24">
        <f>SUM(C88,)</f>
        <v>1219.77</v>
      </c>
      <c r="D87" s="26">
        <f>IF(B87=0,"   ",C87/B87*100)</f>
        <v>20.3295</v>
      </c>
      <c r="E87" s="42">
        <f>C87-B87</f>
        <v>-4780.23</v>
      </c>
    </row>
    <row r="88" spans="1:5" ht="12.75">
      <c r="A88" s="16" t="s">
        <v>237</v>
      </c>
      <c r="B88" s="25">
        <v>6000</v>
      </c>
      <c r="C88" s="27">
        <v>1219.77</v>
      </c>
      <c r="D88" s="26">
        <f>IF(B88=0,"   ",C88/B88*100)</f>
        <v>20.3295</v>
      </c>
      <c r="E88" s="42">
        <f>C88-B88</f>
        <v>-4780.23</v>
      </c>
    </row>
    <row r="89" spans="1:5" ht="18" customHeight="1">
      <c r="A89" s="16" t="s">
        <v>124</v>
      </c>
      <c r="B89" s="24">
        <f>SUM(B90,)</f>
        <v>16000</v>
      </c>
      <c r="C89" s="24">
        <f>SUM(C90,)</f>
        <v>0</v>
      </c>
      <c r="D89" s="26">
        <f t="shared" si="0"/>
        <v>0</v>
      </c>
      <c r="E89" s="42">
        <f t="shared" si="1"/>
        <v>-16000</v>
      </c>
    </row>
    <row r="90" spans="1:5" ht="12.75">
      <c r="A90" s="16" t="s">
        <v>43</v>
      </c>
      <c r="B90" s="199">
        <v>16000</v>
      </c>
      <c r="C90" s="28">
        <v>0</v>
      </c>
      <c r="D90" s="26">
        <f t="shared" si="0"/>
        <v>0</v>
      </c>
      <c r="E90" s="42">
        <f t="shared" si="1"/>
        <v>-16000</v>
      </c>
    </row>
    <row r="91" spans="1:5" ht="21" customHeight="1">
      <c r="A91" s="173" t="s">
        <v>15</v>
      </c>
      <c r="B91" s="150">
        <f>SUM(B48,B55,B57,B59,B73,B84,B85,B87,B89,)</f>
        <v>3065160.3</v>
      </c>
      <c r="C91" s="150">
        <f>SUM(C48,C55,C57,C59,C73,C84,C85,C87,C89,)</f>
        <v>650070.73</v>
      </c>
      <c r="D91" s="141">
        <f>IF(B91=0,"   ",C91/B91*100)</f>
        <v>21.20837627970061</v>
      </c>
      <c r="E91" s="142">
        <f t="shared" si="1"/>
        <v>-2415089.57</v>
      </c>
    </row>
    <row r="92" spans="1:5" s="59" customFormat="1" ht="23.25" customHeight="1">
      <c r="A92" s="80" t="s">
        <v>225</v>
      </c>
      <c r="B92" s="80"/>
      <c r="C92" s="306"/>
      <c r="D92" s="306"/>
      <c r="E92" s="306"/>
    </row>
    <row r="93" spans="1:5" s="59" customFormat="1" ht="12" customHeight="1">
      <c r="A93" s="80" t="s">
        <v>154</v>
      </c>
      <c r="B93" s="80"/>
      <c r="C93" s="81" t="s">
        <v>251</v>
      </c>
      <c r="D93" s="82"/>
      <c r="E93" s="83"/>
    </row>
    <row r="94" spans="1:5" ht="12.75">
      <c r="A94" s="7"/>
      <c r="B94" s="7"/>
      <c r="C94" s="6"/>
      <c r="D94" s="7"/>
      <c r="E94" s="2"/>
    </row>
    <row r="95" spans="1:5" ht="12.75">
      <c r="A95" s="7"/>
      <c r="B95" s="7"/>
      <c r="C95" s="6"/>
      <c r="D95" s="7"/>
      <c r="E95" s="2"/>
    </row>
    <row r="96" spans="1:5" ht="12.75">
      <c r="A96" s="7"/>
      <c r="B96" s="7"/>
      <c r="C96" s="6"/>
      <c r="D96" s="7"/>
      <c r="E96" s="2"/>
    </row>
    <row r="97" spans="1:5" ht="12.75">
      <c r="A97" s="7"/>
      <c r="B97" s="7"/>
      <c r="C97" s="6"/>
      <c r="D97" s="7"/>
      <c r="E97" s="2"/>
    </row>
    <row r="98" spans="2:5" ht="12.75">
      <c r="B98" s="4"/>
      <c r="C98" s="4"/>
      <c r="D98" s="4"/>
      <c r="E98" s="4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  <row r="102" spans="2:5" ht="12.75">
      <c r="B102" s="4"/>
      <c r="C102" s="4"/>
      <c r="D102" s="4"/>
      <c r="E102" s="4"/>
    </row>
    <row r="103" spans="2:5" ht="12.75">
      <c r="B103" s="4"/>
      <c r="C103" s="4"/>
      <c r="D103" s="4"/>
      <c r="E103" s="4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4"/>
      <c r="C106" s="4"/>
      <c r="D106" s="4"/>
      <c r="E106" s="4"/>
    </row>
  </sheetData>
  <sheetProtection/>
  <mergeCells count="2">
    <mergeCell ref="A1:E1"/>
    <mergeCell ref="C92:E92"/>
  </mergeCells>
  <printOptions/>
  <pageMargins left="1.1811023622047245" right="0.7874015748031497" top="0.5118110236220472" bottom="0.5118110236220472" header="0.5118110236220472" footer="0.5118110236220472"/>
  <pageSetup fitToHeight="2" fitToWidth="1"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0"/>
  <sheetViews>
    <sheetView tabSelected="1" zoomScalePageLayoutView="0" workbookViewId="0" topLeftCell="A163">
      <selection activeCell="H32" sqref="H32"/>
    </sheetView>
  </sheetViews>
  <sheetFormatPr defaultColWidth="9.00390625" defaultRowHeight="12.75"/>
  <cols>
    <col min="1" max="1" width="64.50390625" style="0" customWidth="1"/>
    <col min="2" max="2" width="16.50390625" style="0" customWidth="1"/>
    <col min="3" max="3" width="15.625" style="0" customWidth="1"/>
    <col min="4" max="4" width="11.375" style="0" customWidth="1"/>
    <col min="5" max="5" width="15.50390625" style="0" customWidth="1"/>
    <col min="6" max="6" width="12.625" style="0" bestFit="1" customWidth="1"/>
  </cols>
  <sheetData>
    <row r="1" spans="1:5" ht="15">
      <c r="A1" s="310" t="s">
        <v>311</v>
      </c>
      <c r="B1" s="310"/>
      <c r="C1" s="310"/>
      <c r="D1" s="310"/>
      <c r="E1" s="310"/>
    </row>
    <row r="2" spans="1:5" ht="9.75" customHeight="1" thickBot="1">
      <c r="A2" s="258"/>
      <c r="B2" s="258"/>
      <c r="C2" s="259"/>
      <c r="D2" s="258"/>
      <c r="E2" s="258" t="s">
        <v>0</v>
      </c>
    </row>
    <row r="3" spans="1:5" ht="108" customHeight="1">
      <c r="A3" s="254" t="s">
        <v>1</v>
      </c>
      <c r="B3" s="255" t="s">
        <v>256</v>
      </c>
      <c r="C3" s="256" t="s">
        <v>312</v>
      </c>
      <c r="D3" s="255" t="s">
        <v>257</v>
      </c>
      <c r="E3" s="257" t="s">
        <v>258</v>
      </c>
    </row>
    <row r="4" spans="1:5" ht="15">
      <c r="A4" s="260">
        <v>1</v>
      </c>
      <c r="B4" s="261">
        <v>2</v>
      </c>
      <c r="C4" s="262">
        <v>3</v>
      </c>
      <c r="D4" s="263">
        <v>4</v>
      </c>
      <c r="E4" s="264">
        <v>5</v>
      </c>
    </row>
    <row r="5" spans="1:5" ht="15.75" customHeight="1">
      <c r="A5" s="265" t="s">
        <v>2</v>
      </c>
      <c r="B5" s="266"/>
      <c r="C5" s="267"/>
      <c r="D5" s="268"/>
      <c r="E5" s="269"/>
    </row>
    <row r="6" spans="1:5" ht="15">
      <c r="A6" s="270" t="s">
        <v>45</v>
      </c>
      <c r="B6" s="271">
        <f>SUM(B7)</f>
        <v>11138900</v>
      </c>
      <c r="C6" s="271">
        <f>SUM(C7)</f>
        <v>4975662.6899999995</v>
      </c>
      <c r="D6" s="272">
        <f aca="true" t="shared" si="0" ref="D6:D34">IF(B6=0,"   ",C6/B6*100)</f>
        <v>44.66924642469184</v>
      </c>
      <c r="E6" s="273">
        <f aca="true" t="shared" si="1" ref="E6:E60">C6-B6</f>
        <v>-6163237.3100000005</v>
      </c>
    </row>
    <row r="7" spans="1:5" ht="15">
      <c r="A7" s="274" t="s">
        <v>44</v>
      </c>
      <c r="B7" s="275">
        <f>Лист1!B9+Лист2!B7+Лист3!B7+Лист4!B8+Лист5!B8+Лист6!B8+Лист7!B8+Лист8!B8+Лист9!B8+Лист10!B8</f>
        <v>11138900</v>
      </c>
      <c r="C7" s="275">
        <f>Лист1!C9+Лист2!C7+Лист3!C7+Лист4!C8+Лист5!C8+Лист6!C8+Лист7!C8+Лист8!C8+Лист9!C8+Лист10!C8</f>
        <v>4975662.6899999995</v>
      </c>
      <c r="D7" s="272">
        <f t="shared" si="0"/>
        <v>44.66924642469184</v>
      </c>
      <c r="E7" s="273">
        <f t="shared" si="1"/>
        <v>-6163237.3100000005</v>
      </c>
    </row>
    <row r="8" spans="1:5" ht="31.5" customHeight="1">
      <c r="A8" s="270" t="s">
        <v>137</v>
      </c>
      <c r="B8" s="271">
        <f>SUM(B9)</f>
        <v>7469300</v>
      </c>
      <c r="C8" s="271">
        <f>SUM(C9)</f>
        <v>3230074.31</v>
      </c>
      <c r="D8" s="272">
        <f t="shared" si="0"/>
        <v>43.24467232538524</v>
      </c>
      <c r="E8" s="273">
        <f t="shared" si="1"/>
        <v>-4239225.6899999995</v>
      </c>
    </row>
    <row r="9" spans="1:5" ht="30.75">
      <c r="A9" s="274" t="s">
        <v>138</v>
      </c>
      <c r="B9" s="275">
        <f>Лист1!B15+Лист2!B9+Лист3!B9+Лист4!B10+Лист5!B10+Лист6!B10+Лист7!B10+Лист8!B10+Лист9!B10+Лист10!B10</f>
        <v>7469300</v>
      </c>
      <c r="C9" s="275">
        <f>Лист1!C15+Лист2!C9+Лист3!C9+Лист4!C10+Лист5!C10+Лист6!C10+Лист7!C10+Лист8!C10+Лист9!C10+Лист10!C10</f>
        <v>3230074.31</v>
      </c>
      <c r="D9" s="272">
        <f t="shared" si="0"/>
        <v>43.24467232538524</v>
      </c>
      <c r="E9" s="273">
        <f t="shared" si="1"/>
        <v>-4239225.6899999995</v>
      </c>
    </row>
    <row r="10" spans="1:5" ht="15">
      <c r="A10" s="274" t="s">
        <v>7</v>
      </c>
      <c r="B10" s="275">
        <f>B11</f>
        <v>269300</v>
      </c>
      <c r="C10" s="275">
        <f>SUM(C11:C11)</f>
        <v>285934.22000000003</v>
      </c>
      <c r="D10" s="272">
        <f t="shared" si="0"/>
        <v>106.17683624210919</v>
      </c>
      <c r="E10" s="273">
        <f t="shared" si="1"/>
        <v>16634.22000000003</v>
      </c>
    </row>
    <row r="11" spans="1:5" ht="15">
      <c r="A11" s="274" t="s">
        <v>26</v>
      </c>
      <c r="B11" s="275">
        <f>Лист1!B18+Лист2!B11+Лист3!B11+Лист4!B12+Лист5!B12+Лист6!B12+Лист7!B12+Лист8!B12+Лист9!B12+Лист10!B12</f>
        <v>269300</v>
      </c>
      <c r="C11" s="275">
        <f>Лист1!C18+Лист2!C11+Лист3!C11+Лист4!C12+Лист5!C12+Лист6!C12+Лист7!C12+Лист8!C12+Лист9!C12+Лист10!C12</f>
        <v>285934.22000000003</v>
      </c>
      <c r="D11" s="272">
        <f t="shared" si="0"/>
        <v>106.17683624210919</v>
      </c>
      <c r="E11" s="273">
        <f t="shared" si="1"/>
        <v>16634.22000000003</v>
      </c>
    </row>
    <row r="12" spans="1:5" ht="15">
      <c r="A12" s="274" t="s">
        <v>9</v>
      </c>
      <c r="B12" s="275">
        <f>SUM(B13:B14)</f>
        <v>9483900</v>
      </c>
      <c r="C12" s="275">
        <f>SUM(C13:C14)</f>
        <v>1526131.2199999997</v>
      </c>
      <c r="D12" s="272">
        <f t="shared" si="0"/>
        <v>16.09181054207657</v>
      </c>
      <c r="E12" s="273">
        <f t="shared" si="1"/>
        <v>-7957768.78</v>
      </c>
    </row>
    <row r="13" spans="1:5" ht="15">
      <c r="A13" s="274" t="s">
        <v>27</v>
      </c>
      <c r="B13" s="275">
        <f>Лист1!B20+Лист2!B13+Лист3!B13+Лист4!B14+Лист5!B14+Лист6!B14+Лист7!B14+Лист8!B14+Лист9!B14+Лист10!B14</f>
        <v>4642400</v>
      </c>
      <c r="C13" s="275">
        <f>Лист1!C20+Лист2!C13+Лист3!C13+Лист4!C14+Лист5!C14+Лист6!C14+Лист7!C14+Лист8!C14+Лист9!C14+Лист10!C14</f>
        <v>312744.30999999994</v>
      </c>
      <c r="D13" s="272">
        <f t="shared" si="0"/>
        <v>6.736694597621919</v>
      </c>
      <c r="E13" s="273">
        <f t="shared" si="1"/>
        <v>-4329655.69</v>
      </c>
    </row>
    <row r="14" spans="1:5" ht="15">
      <c r="A14" s="274" t="s">
        <v>161</v>
      </c>
      <c r="B14" s="275">
        <f>Лист1!B21+Лист2!B14+Лист3!B14+Лист4!B15+Лист5!B15+Лист6!B15+Лист7!B15+Лист8!B15+Лист9!B15+Лист10!B15</f>
        <v>4841500</v>
      </c>
      <c r="C14" s="275">
        <f>Лист1!C21+Лист2!C14+Лист3!C14+Лист4!C15+Лист5!C15+Лист6!C15+Лист7!C15+Лист8!C15+Лист9!C15+Лист10!C15</f>
        <v>1213386.91</v>
      </c>
      <c r="D14" s="272">
        <f t="shared" si="0"/>
        <v>25.062210265413608</v>
      </c>
      <c r="E14" s="273">
        <f t="shared" si="1"/>
        <v>-3628113.09</v>
      </c>
    </row>
    <row r="15" spans="1:5" ht="15">
      <c r="A15" s="274" t="s">
        <v>162</v>
      </c>
      <c r="B15" s="275">
        <f>Лист1!B22+Лист2!B15+Лист3!B15+Лист4!B16+Лист5!B16+Лист6!B16+Лист7!B16+Лист8!B16+Лист9!B16+Лист10!B16</f>
        <v>1590000</v>
      </c>
      <c r="C15" s="275">
        <f>Лист1!C22+Лист2!C15+Лист3!C15+Лист4!C16+Лист5!C16+Лист6!C16+Лист7!C16+Лист8!C16+Лист9!C16+Лист10!C16</f>
        <v>873578.86</v>
      </c>
      <c r="D15" s="272">
        <f t="shared" si="0"/>
        <v>54.94206666666667</v>
      </c>
      <c r="E15" s="273">
        <f t="shared" si="1"/>
        <v>-716421.14</v>
      </c>
    </row>
    <row r="16" spans="1:5" ht="15">
      <c r="A16" s="274" t="s">
        <v>163</v>
      </c>
      <c r="B16" s="275">
        <f>Лист1!B23+Лист2!B16+Лист3!B16+Лист4!B17+Лист5!B17+Лист6!B17+Лист7!B17+Лист8!B17+Лист9!B17+Лист10!B17</f>
        <v>3251500</v>
      </c>
      <c r="C16" s="275">
        <f>Лист1!C23+Лист2!C16+Лист3!C16+Лист4!C17+Лист5!C17+Лист6!C17+Лист7!C17+Лист8!C17+Лист9!C17+Лист10!C17</f>
        <v>339808.05000000005</v>
      </c>
      <c r="D16" s="272">
        <f t="shared" si="0"/>
        <v>10.45080885745041</v>
      </c>
      <c r="E16" s="273">
        <f t="shared" si="1"/>
        <v>-2911691.95</v>
      </c>
    </row>
    <row r="17" spans="1:5" ht="15">
      <c r="A17" s="274" t="s">
        <v>197</v>
      </c>
      <c r="B17" s="276">
        <f>Лист8!B18+Лист5!B18+Лист9!B18+Лист3!B17+Лист4!B18+Лист2!B17+Лист10!B18+Лист1!B24+Лист6!B18</f>
        <v>4400</v>
      </c>
      <c r="C17" s="276">
        <f>Лист8!C18+Лист5!C18+Лист9!C18+Лист3!C17+Лист4!C18+Лист2!C17+Лист10!C18+Лист1!C24+Лист6!C18</f>
        <v>8540.2</v>
      </c>
      <c r="D17" s="272">
        <f>IF(B17=0,"   ",C17/B17*100)</f>
        <v>194.09545454545457</v>
      </c>
      <c r="E17" s="273">
        <f>C17-B17</f>
        <v>4140.200000000001</v>
      </c>
    </row>
    <row r="18" spans="1:5" ht="28.5" customHeight="1">
      <c r="A18" s="274" t="s">
        <v>93</v>
      </c>
      <c r="B18" s="276">
        <f>Лист1!B25+Лист2!B18+Лист3!B18+Лист4!B19+Лист5!B19+Лист6!B19+Лист7!B18+Лист8!B19+Лист9!B19+Лист10!B19</f>
        <v>0</v>
      </c>
      <c r="C18" s="276">
        <f>Лист1!C25+Лист2!C18+Лист3!C18+Лист4!C19+Лист5!C19+Лист6!C19+Лист7!C18+Лист8!C19+Лист9!C19+Лист10!C19</f>
        <v>0</v>
      </c>
      <c r="D18" s="272" t="str">
        <f t="shared" si="0"/>
        <v>   </v>
      </c>
      <c r="E18" s="273">
        <f t="shared" si="1"/>
        <v>0</v>
      </c>
    </row>
    <row r="19" spans="1:5" ht="46.5" customHeight="1">
      <c r="A19" s="274" t="s">
        <v>28</v>
      </c>
      <c r="B19" s="275">
        <f>SUM(B20:B25)</f>
        <v>3119500</v>
      </c>
      <c r="C19" s="275">
        <f>SUM(C20:C25)</f>
        <v>816174.88</v>
      </c>
      <c r="D19" s="272">
        <f t="shared" si="0"/>
        <v>26.163644173745794</v>
      </c>
      <c r="E19" s="273">
        <f t="shared" si="1"/>
        <v>-2303325.12</v>
      </c>
    </row>
    <row r="20" spans="1:5" ht="15">
      <c r="A20" s="274" t="s">
        <v>153</v>
      </c>
      <c r="B20" s="275">
        <f>Лист7!B20</f>
        <v>1180000</v>
      </c>
      <c r="C20" s="275">
        <f>Лист7!C20</f>
        <v>254276.21</v>
      </c>
      <c r="D20" s="272">
        <f t="shared" si="0"/>
        <v>21.5488313559322</v>
      </c>
      <c r="E20" s="273">
        <f t="shared" si="1"/>
        <v>-925723.79</v>
      </c>
    </row>
    <row r="21" spans="1:5" ht="15">
      <c r="A21" s="274" t="s">
        <v>139</v>
      </c>
      <c r="B21" s="275">
        <f>Лист1!B27+Лист2!B23+Лист3!B20+Лист4!B21+Лист5!B21+Лист6!B21+Лист7!B21+Лист8!B21+Лист9!B22+Лист10!B23</f>
        <v>1240800</v>
      </c>
      <c r="C21" s="275">
        <f>Лист1!C27+Лист2!C23+Лист3!C20+Лист4!C21+Лист5!C21+Лист6!C21+Лист7!C21+Лист8!C21+Лист9!C22+Лист10!C23</f>
        <v>368084.04</v>
      </c>
      <c r="D21" s="272">
        <f t="shared" si="0"/>
        <v>29.6650580270793</v>
      </c>
      <c r="E21" s="273">
        <f t="shared" si="1"/>
        <v>-872715.96</v>
      </c>
    </row>
    <row r="22" spans="1:5" ht="33" customHeight="1">
      <c r="A22" s="274" t="s">
        <v>30</v>
      </c>
      <c r="B22" s="275">
        <f>Лист1!B28+Лист2!B24+Лист3!B21+Лист4!B22+Лист5!B22+Лист6!B22+Лист7!B22+Лист8!B22+Лист9!B23+Лист10!B21</f>
        <v>180700</v>
      </c>
      <c r="C22" s="275">
        <f>Лист1!C28+Лист2!C24+Лист3!C21+Лист4!C22+Лист5!C22+Лист6!C22+Лист7!C22+Лист8!C22+Лист9!C23+Лист10!C21</f>
        <v>101267.52</v>
      </c>
      <c r="D22" s="272">
        <f t="shared" si="0"/>
        <v>56.04179302711677</v>
      </c>
      <c r="E22" s="273">
        <f t="shared" si="1"/>
        <v>-79432.48</v>
      </c>
    </row>
    <row r="23" spans="1:5" ht="33" customHeight="1">
      <c r="A23" s="274" t="s">
        <v>277</v>
      </c>
      <c r="B23" s="275">
        <f>Лист8!B23+Лист10!B22</f>
        <v>6600</v>
      </c>
      <c r="C23" s="275">
        <f>Лист8!C23+Лист10!C22</f>
        <v>6658.6</v>
      </c>
      <c r="D23" s="272">
        <f>IF(B23=0,"   ",C23/B23*100)</f>
        <v>100.88787878787879</v>
      </c>
      <c r="E23" s="273">
        <f>C23-B23</f>
        <v>58.600000000000364</v>
      </c>
    </row>
    <row r="24" spans="1:5" ht="73.5" customHeight="1">
      <c r="A24" s="274" t="s">
        <v>202</v>
      </c>
      <c r="B24" s="275">
        <f>Лист7!B23</f>
        <v>485700</v>
      </c>
      <c r="C24" s="275">
        <f>Лист7!C23</f>
        <v>72995.51</v>
      </c>
      <c r="D24" s="272">
        <f>IF(B24=0,"   ",C24/B24*100)</f>
        <v>15.02892938027589</v>
      </c>
      <c r="E24" s="273">
        <f>C24-B24</f>
        <v>-412704.49</v>
      </c>
    </row>
    <row r="25" spans="1:5" ht="72" customHeight="1">
      <c r="A25" s="274" t="s">
        <v>228</v>
      </c>
      <c r="B25" s="275">
        <f>Лист1!B29+Лист9!B24</f>
        <v>25700</v>
      </c>
      <c r="C25" s="275">
        <f>Лист1!C29+Лист9!C24</f>
        <v>12893</v>
      </c>
      <c r="D25" s="272">
        <f>IF(B25=0,"   ",C25/B25*100)</f>
        <v>50.16731517509727</v>
      </c>
      <c r="E25" s="273">
        <f>C25-B25</f>
        <v>-12807</v>
      </c>
    </row>
    <row r="26" spans="1:5" ht="30.75" customHeight="1">
      <c r="A26" s="274" t="s">
        <v>83</v>
      </c>
      <c r="B26" s="275">
        <f>SUM(B28,B27)</f>
        <v>46100</v>
      </c>
      <c r="C26" s="275">
        <f>SUM(C28,C27)</f>
        <v>62173.909999999996</v>
      </c>
      <c r="D26" s="272">
        <f t="shared" si="0"/>
        <v>134.86748373101952</v>
      </c>
      <c r="E26" s="273">
        <f t="shared" si="1"/>
        <v>16073.909999999996</v>
      </c>
    </row>
    <row r="27" spans="1:5" ht="16.5" customHeight="1">
      <c r="A27" s="274" t="s">
        <v>176</v>
      </c>
      <c r="B27" s="275">
        <f>Лист2!B26</f>
        <v>0</v>
      </c>
      <c r="C27" s="275">
        <f>Лист2!C26</f>
        <v>0</v>
      </c>
      <c r="D27" s="272"/>
      <c r="E27" s="273">
        <f t="shared" si="1"/>
        <v>0</v>
      </c>
    </row>
    <row r="28" spans="1:5" ht="44.25" customHeight="1">
      <c r="A28" s="274" t="s">
        <v>84</v>
      </c>
      <c r="B28" s="275">
        <f>Лист4!B23+Лист9!B25+Лист7!B24+Лист1!B30</f>
        <v>46100</v>
      </c>
      <c r="C28" s="275">
        <f>Лист4!C23+Лист9!C25+Лист7!C24+Лист1!C30</f>
        <v>62173.909999999996</v>
      </c>
      <c r="D28" s="272">
        <f t="shared" si="0"/>
        <v>134.86748373101952</v>
      </c>
      <c r="E28" s="273">
        <f t="shared" si="1"/>
        <v>16073.909999999996</v>
      </c>
    </row>
    <row r="29" spans="1:5" ht="31.5" customHeight="1">
      <c r="A29" s="274" t="s">
        <v>76</v>
      </c>
      <c r="B29" s="275">
        <f>SUM(B31+B30+B32)</f>
        <v>3496800</v>
      </c>
      <c r="C29" s="275">
        <f>SUM(C31+C30+C32)</f>
        <v>273794.97</v>
      </c>
      <c r="D29" s="272">
        <f t="shared" si="0"/>
        <v>7.829872168840081</v>
      </c>
      <c r="E29" s="273">
        <f t="shared" si="1"/>
        <v>-3223005.0300000003</v>
      </c>
    </row>
    <row r="30" spans="1:5" ht="30.75" customHeight="1">
      <c r="A30" s="274" t="s">
        <v>134</v>
      </c>
      <c r="B30" s="275">
        <f>Лист7!B26</f>
        <v>3468800</v>
      </c>
      <c r="C30" s="275">
        <f>Лист1!C32</f>
        <v>13580</v>
      </c>
      <c r="D30" s="272">
        <f t="shared" si="0"/>
        <v>0.39148985239852396</v>
      </c>
      <c r="E30" s="273">
        <f t="shared" si="1"/>
        <v>-3455220</v>
      </c>
    </row>
    <row r="31" spans="1:5" ht="42" customHeight="1">
      <c r="A31" s="274" t="s">
        <v>229</v>
      </c>
      <c r="B31" s="275">
        <f>Лист7!B27</f>
        <v>28000</v>
      </c>
      <c r="C31" s="275">
        <f>Лист7!C27</f>
        <v>260214.97</v>
      </c>
      <c r="D31" s="272">
        <f t="shared" si="0"/>
        <v>929.3391785714286</v>
      </c>
      <c r="E31" s="273">
        <f t="shared" si="1"/>
        <v>232214.97</v>
      </c>
    </row>
    <row r="32" spans="1:5" ht="46.5" customHeight="1">
      <c r="A32" s="274" t="s">
        <v>230</v>
      </c>
      <c r="B32" s="275">
        <v>0</v>
      </c>
      <c r="C32" s="275">
        <f>Лист1!C33+Лист2!C21+Лист3!C24+Лист4!C25+Лист6!C25+Лист8!C26+Лист9!C28+Лист10!C26</f>
        <v>0</v>
      </c>
      <c r="D32" s="272" t="str">
        <f t="shared" si="0"/>
        <v>   </v>
      </c>
      <c r="E32" s="273">
        <f t="shared" si="1"/>
        <v>0</v>
      </c>
    </row>
    <row r="33" spans="1:5" ht="15">
      <c r="A33" s="274" t="s">
        <v>31</v>
      </c>
      <c r="B33" s="275">
        <f>Лист1!B34+Лист2!B27+Лист5!B28+Лист7!B28+Лист6!B26</f>
        <v>0</v>
      </c>
      <c r="C33" s="275">
        <f>Лист1!C34+Лист2!C27+Лист5!C28+Лист7!C28+Лист6!C26+Лист8!C30</f>
        <v>0</v>
      </c>
      <c r="D33" s="272" t="str">
        <f t="shared" si="0"/>
        <v>   </v>
      </c>
      <c r="E33" s="273">
        <f t="shared" si="1"/>
        <v>0</v>
      </c>
    </row>
    <row r="34" spans="1:5" ht="15">
      <c r="A34" s="274" t="s">
        <v>32</v>
      </c>
      <c r="B34" s="275">
        <f>B35+B36</f>
        <v>0</v>
      </c>
      <c r="C34" s="275">
        <f>C35+C36</f>
        <v>-45554.64</v>
      </c>
      <c r="D34" s="272" t="str">
        <f t="shared" si="0"/>
        <v>   </v>
      </c>
      <c r="E34" s="273">
        <f t="shared" si="1"/>
        <v>-45554.64</v>
      </c>
    </row>
    <row r="35" spans="1:5" ht="15">
      <c r="A35" s="274" t="s">
        <v>46</v>
      </c>
      <c r="B35" s="275">
        <v>0</v>
      </c>
      <c r="C35" s="275">
        <f>Лист1!C38+Лист2!C29+Лист4!C27+Лист6!C28+Лист7!C30+Лист8!C28+Лист9!C31+Лист3!C27+Лист10!C28+Лист5!C27</f>
        <v>-45554.64</v>
      </c>
      <c r="D35" s="272"/>
      <c r="E35" s="273">
        <f t="shared" si="1"/>
        <v>-45554.64</v>
      </c>
    </row>
    <row r="36" spans="1:5" ht="15">
      <c r="A36" s="274" t="s">
        <v>50</v>
      </c>
      <c r="B36" s="275">
        <f>Лист1!B39+Лист2!B30+Лист3!B28+Лист4!B28+Лист5!B27+Лист6!B29+Лист7!B31+Лист8!B29+Лист9!B32+Лист10!B29</f>
        <v>0</v>
      </c>
      <c r="C36" s="275">
        <f>Лист1!C39+Лист2!C30+Лист3!C28+Лист4!C28+Лист6!C29+Лист7!C31+Лист8!C29+Лист9!C32+Лист10!C29</f>
        <v>0</v>
      </c>
      <c r="D36" s="272" t="str">
        <f>IF(B36=0,"   ",C36/B36*100)</f>
        <v>   </v>
      </c>
      <c r="E36" s="273">
        <f t="shared" si="1"/>
        <v>0</v>
      </c>
    </row>
    <row r="37" spans="1:5" ht="18" customHeight="1">
      <c r="A37" s="277" t="s">
        <v>10</v>
      </c>
      <c r="B37" s="278">
        <f>SUM(B6,B8,B10,B12,B18,B19,B26,B29,B34,+B33+B17)</f>
        <v>35028200</v>
      </c>
      <c r="C37" s="278">
        <f>SUM(C6,C8,C10,C12,C18,C19,C26,C29,C34,+C33+C17)</f>
        <v>11132931.760000002</v>
      </c>
      <c r="D37" s="279">
        <f>IF(B37=0,"   ",C37/B37*100)</f>
        <v>31.782768626421003</v>
      </c>
      <c r="E37" s="280">
        <f t="shared" si="1"/>
        <v>-23895268.24</v>
      </c>
    </row>
    <row r="38" spans="1:5" ht="33" customHeight="1">
      <c r="A38" s="270" t="s">
        <v>34</v>
      </c>
      <c r="B38" s="271">
        <f>Лист1!B44+Лист2!B33+Лист3!B32+Лист4!B32+Лист5!B31+Лист6!B32+Лист7!B34+Лист8!B33+Лист9!B35+Лист10!B32</f>
        <v>16806300</v>
      </c>
      <c r="C38" s="271">
        <f>Лист1!C44+Лист2!C33+Лист3!C32+Лист4!C32+Лист5!C31+Лист6!C32+Лист7!C34+Лист8!C33+Лист9!C35+Лист10!C32</f>
        <v>8403350</v>
      </c>
      <c r="D38" s="272">
        <f>IF(B38=0,"   ",C38/B38*100)</f>
        <v>50.001190029929255</v>
      </c>
      <c r="E38" s="273">
        <f t="shared" si="1"/>
        <v>-8402950</v>
      </c>
    </row>
    <row r="39" spans="1:5" ht="33" customHeight="1">
      <c r="A39" s="270" t="s">
        <v>232</v>
      </c>
      <c r="B39" s="271">
        <f>Лист1!B45+Лист2!B34+Лист3!B33+Лист4!B33+Лист5!B32+Лист6!B33+Лист7!B35+Лист8!B34+Лист9!B36+Лист10!B33</f>
        <v>0</v>
      </c>
      <c r="C39" s="271">
        <f>Лист1!C45+Лист2!C34+Лист3!C33+Лист4!C33+Лист5!C32+Лист6!C33+Лист7!C35+Лист8!C34+Лист9!C36+Лист10!C33</f>
        <v>0</v>
      </c>
      <c r="D39" s="272" t="str">
        <f>IF(B39=0,"   ",C39/B39*100)</f>
        <v>   </v>
      </c>
      <c r="E39" s="273">
        <f>C39-B39</f>
        <v>0</v>
      </c>
    </row>
    <row r="40" spans="1:5" ht="15">
      <c r="A40" s="281" t="s">
        <v>115</v>
      </c>
      <c r="B40" s="271">
        <f>SUM(B42:B48)</f>
        <v>57373529.64</v>
      </c>
      <c r="C40" s="271">
        <f>SUM(C42:C48)</f>
        <v>3270833.8</v>
      </c>
      <c r="D40" s="272">
        <f>IF(B40=0,"   ",C40/B40*100)</f>
        <v>5.700945750633444</v>
      </c>
      <c r="E40" s="273">
        <f t="shared" si="1"/>
        <v>-54102695.84</v>
      </c>
    </row>
    <row r="41" spans="1:5" ht="15">
      <c r="A41" s="270" t="s">
        <v>116</v>
      </c>
      <c r="B41" s="271"/>
      <c r="C41" s="271"/>
      <c r="D41" s="272"/>
      <c r="E41" s="273"/>
    </row>
    <row r="42" spans="1:5" ht="33" customHeight="1">
      <c r="A42" s="274" t="s">
        <v>242</v>
      </c>
      <c r="B42" s="275">
        <v>0</v>
      </c>
      <c r="C42" s="275">
        <f>Лист2!C43</f>
        <v>0</v>
      </c>
      <c r="D42" s="272" t="str">
        <f>IF(B42=0,"   ",C42/B42*100)</f>
        <v>   </v>
      </c>
      <c r="E42" s="273">
        <f>C42-B42</f>
        <v>0</v>
      </c>
    </row>
    <row r="43" spans="1:5" ht="45" customHeight="1">
      <c r="A43" s="274" t="s">
        <v>180</v>
      </c>
      <c r="B43" s="282">
        <v>0</v>
      </c>
      <c r="C43" s="282">
        <v>0</v>
      </c>
      <c r="D43" s="283" t="str">
        <f>IF(B43=0,"   ",C43/B43)</f>
        <v>   </v>
      </c>
      <c r="E43" s="284">
        <f>C43-B43</f>
        <v>0</v>
      </c>
    </row>
    <row r="44" spans="1:5" ht="110.25" customHeight="1">
      <c r="A44" s="274" t="s">
        <v>241</v>
      </c>
      <c r="B44" s="275">
        <f>Лист1!B52+Лист2!B42+Лист3!B40+Лист4!B40+Лист5!B37+Лист6!B38+Лист7!B43+Лист8!B41+Лист9!B41+Лист10!B38</f>
        <v>6600100</v>
      </c>
      <c r="C44" s="275">
        <f>Лист1!C52+Лист2!C42+Лист3!C40+Лист4!C40+Лист5!C37+Лист6!C38+Лист7!C43+Лист8!C41+Лист9!C41+Лист10!C38</f>
        <v>0</v>
      </c>
      <c r="D44" s="272">
        <f>IF(B44=0,"   ",C44/B44*100)</f>
        <v>0</v>
      </c>
      <c r="E44" s="273">
        <f>C44-B44</f>
        <v>-6600100</v>
      </c>
    </row>
    <row r="45" spans="1:5" ht="106.5" customHeight="1">
      <c r="A45" s="274" t="s">
        <v>243</v>
      </c>
      <c r="B45" s="275">
        <f>Лист7!B44</f>
        <v>1612800</v>
      </c>
      <c r="C45" s="275">
        <f>Лист7!C44</f>
        <v>1103789.8</v>
      </c>
      <c r="D45" s="272">
        <f>IF(B45=0,"   ",C45/B45*100)</f>
        <v>68.43934771825397</v>
      </c>
      <c r="E45" s="273">
        <f>C45-B45</f>
        <v>-509010.19999999995</v>
      </c>
    </row>
    <row r="46" spans="1:5" ht="60" customHeight="1">
      <c r="A46" s="274" t="s">
        <v>271</v>
      </c>
      <c r="B46" s="275">
        <v>0</v>
      </c>
      <c r="C46" s="275">
        <f>Лист7!C45</f>
        <v>0</v>
      </c>
      <c r="D46" s="272"/>
      <c r="E46" s="273"/>
    </row>
    <row r="47" spans="1:5" ht="49.5" customHeight="1">
      <c r="A47" s="274" t="s">
        <v>284</v>
      </c>
      <c r="B47" s="275">
        <f>Лист2!B43+Лист4!B41+Лист9!B42</f>
        <v>1269494.94</v>
      </c>
      <c r="C47" s="275">
        <f>Лист2!C43+Лист4!C41+Лист9!C42</f>
        <v>0</v>
      </c>
      <c r="D47" s="272"/>
      <c r="E47" s="273"/>
    </row>
    <row r="48" spans="1:5" ht="15">
      <c r="A48" s="274" t="s">
        <v>106</v>
      </c>
      <c r="B48" s="275">
        <f>SUM(B50:B53)</f>
        <v>47891134.7</v>
      </c>
      <c r="C48" s="275">
        <f>SUM(C50:C53)</f>
        <v>2167044</v>
      </c>
      <c r="D48" s="272">
        <f>IF(B48=0,"   ",C48/B48*100)</f>
        <v>4.524937681211383</v>
      </c>
      <c r="E48" s="273">
        <f>C48-B48</f>
        <v>-45724090.7</v>
      </c>
    </row>
    <row r="49" spans="1:5" ht="15">
      <c r="A49" s="274" t="s">
        <v>117</v>
      </c>
      <c r="B49" s="275"/>
      <c r="C49" s="275"/>
      <c r="D49" s="272"/>
      <c r="E49" s="273"/>
    </row>
    <row r="50" spans="1:5" ht="46.5">
      <c r="A50" s="274" t="s">
        <v>222</v>
      </c>
      <c r="B50" s="275">
        <f>Лист1!B55</f>
        <v>328200</v>
      </c>
      <c r="C50" s="275">
        <v>0</v>
      </c>
      <c r="D50" s="272">
        <f>IF(B50=0,"   ",C50/B50*100)</f>
        <v>0</v>
      </c>
      <c r="E50" s="273">
        <f>C50-B50</f>
        <v>-328200</v>
      </c>
    </row>
    <row r="51" spans="1:5" ht="51.75" customHeight="1">
      <c r="A51" s="274" t="s">
        <v>221</v>
      </c>
      <c r="B51" s="275">
        <f>Лист1!B54+Лист2!B45+Лист3!B42+Лист4!B43+Лист5!B40+Лист6!B41+Лист7!B47+Лист8!B43+Лист9!B44+Лист10!B40</f>
        <v>3754600</v>
      </c>
      <c r="C51" s="275">
        <f>Лист1!C54+Лист2!C45+Лист3!C42+Лист4!C43+Лист5!C40+Лист6!C41+Лист7!C47+Лист8!C43+Лист9!C44+Лист10!C40</f>
        <v>0</v>
      </c>
      <c r="D51" s="275">
        <f>Лист7!D47</f>
        <v>0</v>
      </c>
      <c r="E51" s="273">
        <f>C51-B51</f>
        <v>-3754600</v>
      </c>
    </row>
    <row r="52" spans="1:5" ht="48" customHeight="1">
      <c r="A52" s="274" t="s">
        <v>286</v>
      </c>
      <c r="B52" s="275">
        <f>Лист7!B48</f>
        <v>39181634.7</v>
      </c>
      <c r="C52" s="275">
        <f>Лист7!C48</f>
        <v>0</v>
      </c>
      <c r="D52" s="275">
        <f>Лист7!D48</f>
        <v>0</v>
      </c>
      <c r="E52" s="275">
        <f>Лист7!E48</f>
        <v>-39181634.7</v>
      </c>
    </row>
    <row r="53" spans="1:5" s="59" customFormat="1" ht="48" customHeight="1">
      <c r="A53" s="274" t="s">
        <v>118</v>
      </c>
      <c r="B53" s="275">
        <f>Лист1!B56+Лист2!B46+Лист3!B43+Лист4!B44+Лист5!B39+Лист6!B40+Лист7!B49+Лист8!B44+Лист9!B45+Лист10!B41</f>
        <v>4626700</v>
      </c>
      <c r="C53" s="275">
        <f>Лист1!C56+Лист2!C46+Лист3!C43+Лист4!C44+Лист5!C39+Лист6!C40+Лист7!C49+Лист8!C44+Лист9!C45+Лист10!C41</f>
        <v>2167044</v>
      </c>
      <c r="D53" s="272">
        <f>IF(B53=0,"   ",C53/B53*100)</f>
        <v>46.83778935310264</v>
      </c>
      <c r="E53" s="273">
        <f>C53-B53</f>
        <v>-2459656</v>
      </c>
    </row>
    <row r="54" spans="1:5" s="59" customFormat="1" ht="15">
      <c r="A54" s="281" t="s">
        <v>19</v>
      </c>
      <c r="B54" s="275">
        <f>B56+B57</f>
        <v>1391100</v>
      </c>
      <c r="C54" s="275">
        <f>C56+C57</f>
        <v>631300</v>
      </c>
      <c r="D54" s="272">
        <f>IF(B54=0,"   ",C54/B54*100)</f>
        <v>45.381352886205164</v>
      </c>
      <c r="E54" s="273">
        <f>C54-B54</f>
        <v>-759800</v>
      </c>
    </row>
    <row r="55" spans="1:5" ht="15">
      <c r="A55" s="270" t="s">
        <v>116</v>
      </c>
      <c r="B55" s="271"/>
      <c r="C55" s="271"/>
      <c r="D55" s="272"/>
      <c r="E55" s="273"/>
    </row>
    <row r="56" spans="1:5" ht="63.75" customHeight="1">
      <c r="A56" s="285" t="s">
        <v>51</v>
      </c>
      <c r="B56" s="286">
        <f>Лист1!B46+Лист2!B36+Лист3!B34+Лист4!B34+Лист5!B33+Лист6!B34+Лист7!B36+Лист8!B35+Лист9!B37+Лист10!B34</f>
        <v>1264800</v>
      </c>
      <c r="C56" s="286">
        <f>Лист1!C46+Лист2!C36+Лист3!C34+Лист4!C34+Лист5!C33+Лист6!C34+Лист7!C36+Лист8!C35+Лист9!C37+Лист10!C34</f>
        <v>630600</v>
      </c>
      <c r="D56" s="287">
        <f>IF(B56=0,"   ",C56/B56*100)</f>
        <v>49.85768500948767</v>
      </c>
      <c r="E56" s="288">
        <f>C56-B56</f>
        <v>-634200</v>
      </c>
    </row>
    <row r="57" spans="1:5" ht="45" customHeight="1">
      <c r="A57" s="285" t="s">
        <v>148</v>
      </c>
      <c r="B57" s="286">
        <f>Лист1!B47+Лист2!B37+Лист3!B35+Лист4!B35+Лист5!B34+Лист6!B35+Лист7!B37+Лист8!B36+Лист9!B38+Лист10!B35</f>
        <v>126300</v>
      </c>
      <c r="C57" s="286">
        <f>Лист1!C47+Лист2!C37+Лист3!C35+Лист4!C35+Лист5!C34+Лист6!C35+Лист7!C37+Лист8!C36+Лист9!C38+Лист10!C35</f>
        <v>700</v>
      </c>
      <c r="D57" s="287">
        <f>IF(B57=0,"   ",C57/B57*100)</f>
        <v>0.5542359461599367</v>
      </c>
      <c r="E57" s="288">
        <f>C57-B57</f>
        <v>-125600</v>
      </c>
    </row>
    <row r="58" spans="1:5" ht="27.75" customHeight="1">
      <c r="A58" s="285" t="s">
        <v>164</v>
      </c>
      <c r="B58" s="286">
        <f>Лист1!B48+Лист2!B38+Лист3!B36+Лист4!B36+Лист5!B35+Лист6!B36+Лист7!B38+Лист8!B37+Лист9!B39+Лист10!B36</f>
        <v>1400</v>
      </c>
      <c r="C58" s="286">
        <f>Лист1!C48+Лист2!C38+Лист3!C36+Лист4!C36+Лист5!C35+Лист6!C36+Лист7!C38+Лист8!C37+Лист9!C39+Лист10!C36</f>
        <v>700</v>
      </c>
      <c r="D58" s="287">
        <f>IF(B58=0,"   ",C58/B58*100)</f>
        <v>50</v>
      </c>
      <c r="E58" s="288">
        <f>C58-B58</f>
        <v>-700</v>
      </c>
    </row>
    <row r="59" spans="1:5" ht="47.25" customHeight="1">
      <c r="A59" s="285" t="s">
        <v>165</v>
      </c>
      <c r="B59" s="286">
        <f>Лист1!B49+Лист2!B39+Лист3!B37+Лист4!B37+Лист5!B36+Лист6!B37+Лист7!B39+Лист8!B38+Лист9!B40+Лист10!B37</f>
        <v>124900</v>
      </c>
      <c r="C59" s="286">
        <f>Лист1!C49+Лист2!C39+Лист3!C37+Лист4!C37+Лист5!C36+Лист6!C37+Лист7!C39+Лист8!C38+Лист9!C40+Лист10!C37</f>
        <v>0</v>
      </c>
      <c r="D59" s="287">
        <f>IF(B59=0,"   ",C59/B59*100)</f>
        <v>0</v>
      </c>
      <c r="E59" s="288">
        <f>C59-B59</f>
        <v>-124900</v>
      </c>
    </row>
    <row r="60" spans="1:5" ht="15">
      <c r="A60" s="281" t="s">
        <v>119</v>
      </c>
      <c r="B60" s="275">
        <f>B62+B64+B63</f>
        <v>12296434.3</v>
      </c>
      <c r="C60" s="275">
        <f>C62+C64+C63</f>
        <v>0</v>
      </c>
      <c r="D60" s="272">
        <f>IF(B60=0,"   ",C60/B60*100)</f>
        <v>0</v>
      </c>
      <c r="E60" s="273">
        <f t="shared" si="1"/>
        <v>-12296434.3</v>
      </c>
    </row>
    <row r="61" spans="1:5" ht="15">
      <c r="A61" s="270" t="s">
        <v>116</v>
      </c>
      <c r="B61" s="271"/>
      <c r="C61" s="271"/>
      <c r="D61" s="272"/>
      <c r="E61" s="273"/>
    </row>
    <row r="62" spans="1:5" ht="115.5" customHeight="1">
      <c r="A62" s="274" t="s">
        <v>276</v>
      </c>
      <c r="B62" s="275">
        <f>Лист7!B45</f>
        <v>6082988.39</v>
      </c>
      <c r="C62" s="286">
        <f>Лист1!C50+Лист2!C40+Лист3!C38+Лист4!C38+Лист5!C41+Лист6!C43+Лист7!C40+Лист8!C39+Лист9!C46+Лист10!C43</f>
        <v>0</v>
      </c>
      <c r="D62" s="272">
        <f aca="true" t="shared" si="2" ref="D62:D93">IF(B62=0,"   ",C62/B62*100)</f>
        <v>0</v>
      </c>
      <c r="E62" s="273">
        <f>C62-B62</f>
        <v>-6082988.39</v>
      </c>
    </row>
    <row r="63" spans="1:5" ht="111.75" customHeight="1">
      <c r="A63" s="274" t="s">
        <v>275</v>
      </c>
      <c r="B63" s="282">
        <f>Лист7!B42</f>
        <v>6213445.91</v>
      </c>
      <c r="C63" s="282">
        <f>Лист7!C42</f>
        <v>0</v>
      </c>
      <c r="D63" s="272">
        <f>IF(B63=0,"   ",C63/B63*100)</f>
        <v>0</v>
      </c>
      <c r="E63" s="273">
        <f>C63-B63</f>
        <v>-6213445.91</v>
      </c>
    </row>
    <row r="64" spans="1:5" ht="27.75" customHeight="1">
      <c r="A64" s="274" t="s">
        <v>171</v>
      </c>
      <c r="B64" s="286">
        <f>Лист1!B51+Лист2!B41+Лист3!B39+Лист6!B42+Лист8!B40+Лист10!B42+Лист4!B39+Лист5!B42+Лист7!B41+Лист9!B47</f>
        <v>0</v>
      </c>
      <c r="C64" s="286">
        <f>Лист1!C51+Лист2!C41+Лист3!C39+Лист6!C42+Лист8!C40+Лист10!C42+Лист4!C39+Лист5!C42+Лист7!C41+Лист9!C47</f>
        <v>0</v>
      </c>
      <c r="D64" s="272" t="str">
        <f t="shared" si="2"/>
        <v>   </v>
      </c>
      <c r="E64" s="273">
        <f>C64-B64</f>
        <v>0</v>
      </c>
    </row>
    <row r="65" spans="1:5" ht="21" customHeight="1">
      <c r="A65" s="277" t="s">
        <v>187</v>
      </c>
      <c r="B65" s="275">
        <f>Лист1!B57+Лист2!B47+Лист3!B44+Лист4!B45+Лист5!B43+Лист6!B44+Лист7!B50+Лист8!B45+Лист9!B48+Лист10!B44</f>
        <v>1156318.9500000002</v>
      </c>
      <c r="C65" s="275">
        <f>Лист1!C57+Лист2!C47+Лист3!C44+Лист4!C45+Лист5!C43+Лист6!C44+Лист7!C50+Лист8!C45+Лист9!C48+Лист10!C44</f>
        <v>22375</v>
      </c>
      <c r="D65" s="272">
        <f>IF(B65=0,"   ",C65/B65*100)</f>
        <v>1.935019745200924</v>
      </c>
      <c r="E65" s="273">
        <f>C65-B65</f>
        <v>-1133943.9500000002</v>
      </c>
    </row>
    <row r="66" spans="1:5" ht="15">
      <c r="A66" s="277" t="s">
        <v>104</v>
      </c>
      <c r="B66" s="278">
        <f>B38+B40+B54+B60+B65+B39</f>
        <v>89023682.89</v>
      </c>
      <c r="C66" s="278">
        <f>C38+C40+C54+C60+C65+C39</f>
        <v>12327858.8</v>
      </c>
      <c r="D66" s="279">
        <f t="shared" si="2"/>
        <v>13.847841832417366</v>
      </c>
      <c r="E66" s="280">
        <f aca="true" t="shared" si="3" ref="E66:E109">C66-B66</f>
        <v>-76695824.09</v>
      </c>
    </row>
    <row r="67" spans="1:5" ht="23.25" customHeight="1">
      <c r="A67" s="277" t="s">
        <v>11</v>
      </c>
      <c r="B67" s="278">
        <f>B37+B66</f>
        <v>124051882.89</v>
      </c>
      <c r="C67" s="278">
        <f>C37+C66</f>
        <v>23460790.560000002</v>
      </c>
      <c r="D67" s="279">
        <f t="shared" si="2"/>
        <v>18.912079376339083</v>
      </c>
      <c r="E67" s="280">
        <f t="shared" si="3"/>
        <v>-100591092.33</v>
      </c>
    </row>
    <row r="68" spans="1:5" ht="30.75" hidden="1">
      <c r="A68" s="277" t="s">
        <v>48</v>
      </c>
      <c r="B68" s="275"/>
      <c r="C68" s="275"/>
      <c r="D68" s="272" t="str">
        <f t="shared" si="2"/>
        <v>   </v>
      </c>
      <c r="E68" s="273">
        <f t="shared" si="3"/>
        <v>0</v>
      </c>
    </row>
    <row r="69" spans="1:5" ht="15.75">
      <c r="A69" s="289" t="s">
        <v>12</v>
      </c>
      <c r="B69" s="290"/>
      <c r="C69" s="291"/>
      <c r="D69" s="272" t="str">
        <f t="shared" si="2"/>
        <v>   </v>
      </c>
      <c r="E69" s="273"/>
    </row>
    <row r="70" spans="1:5" ht="15">
      <c r="A70" s="274" t="s">
        <v>35</v>
      </c>
      <c r="B70" s="275">
        <f>Лист1!B60+Лист2!B51+Лист3!B47+Лист4!B48+Лист5!B47+Лист6!B47+Лист7!B54+Лист8!B48+Лист9!B51+Лист10!B48</f>
        <v>14058800</v>
      </c>
      <c r="C70" s="275">
        <f>Лист1!C60+Лист2!C51+Лист3!C47+Лист4!C48+Лист5!C47+Лист6!C47+Лист7!C54+Лист8!C48+Лист9!C51+Лист10!C48</f>
        <v>6055180.18</v>
      </c>
      <c r="D70" s="272">
        <f t="shared" si="2"/>
        <v>43.070391356303524</v>
      </c>
      <c r="E70" s="273">
        <f t="shared" si="3"/>
        <v>-8003619.82</v>
      </c>
    </row>
    <row r="71" spans="1:5" ht="13.5" customHeight="1">
      <c r="A71" s="274" t="s">
        <v>36</v>
      </c>
      <c r="B71" s="275">
        <f>Лист1!B61+Лист2!B52+Лист3!B48+Лист4!B49+Лист5!B48+Лист6!B48+Лист7!B55+Лист8!B49+Лист9!B52+Лист10!B49</f>
        <v>13673300</v>
      </c>
      <c r="C71" s="275">
        <f>Лист1!C61+Лист2!C52+Лист3!C48+Лист4!C49+Лист5!C48+Лист6!C48+Лист7!C55+Лист8!C49+Лист9!C52+Лист10!C49</f>
        <v>5942714.88</v>
      </c>
      <c r="D71" s="272">
        <f t="shared" si="2"/>
        <v>43.46218454945039</v>
      </c>
      <c r="E71" s="273">
        <f t="shared" si="3"/>
        <v>-7730585.12</v>
      </c>
    </row>
    <row r="72" spans="1:5" ht="15">
      <c r="A72" s="274" t="s">
        <v>121</v>
      </c>
      <c r="B72" s="275">
        <f>Лист1!B62+Лист2!B53+Лист3!B49+Лист4!B50+Лист5!B49+Лист6!B49+Лист7!B56+Лист8!B50+Лист9!B53+Лист10!B50</f>
        <v>8374730</v>
      </c>
      <c r="C72" s="275">
        <f>Лист1!C62+Лист2!C53+Лист3!C49+Лист4!C50+Лист5!C49+Лист6!C49+Лист7!C56+Лист8!C50+Лист9!C53+Лист10!C50</f>
        <v>3880980.65</v>
      </c>
      <c r="D72" s="272">
        <f t="shared" si="2"/>
        <v>46.34156145929481</v>
      </c>
      <c r="E72" s="273">
        <f t="shared" si="3"/>
        <v>-4493749.35</v>
      </c>
    </row>
    <row r="73" spans="1:5" ht="15">
      <c r="A73" s="85" t="s">
        <v>293</v>
      </c>
      <c r="B73" s="275">
        <f>Лист1!B63+Лист2!B54+Лист3!B50+Лист4!B51+Лист5!B50+Лист6!B50+Лист7!B57+Лист8!B51+Лист9!B54+Лист10!B51</f>
        <v>1400</v>
      </c>
      <c r="C73" s="275">
        <f>Лист1!C63+Лист2!C54+Лист3!C50+Лист4!C51+Лист5!C50+Лист6!C50+Лист7!C57+Лист8!C51+Лист9!C54+Лист10!C51</f>
        <v>500</v>
      </c>
      <c r="D73" s="272">
        <f>IF(B73=0,"   ",C73/B73*100)</f>
        <v>35.714285714285715</v>
      </c>
      <c r="E73" s="273">
        <f>C73-B73</f>
        <v>-900</v>
      </c>
    </row>
    <row r="74" spans="1:5" ht="15">
      <c r="A74" s="274" t="s">
        <v>95</v>
      </c>
      <c r="B74" s="275">
        <f>Лист1!B64+Лист2!B55+Лист3!B51+Лист4!B52+Лист5!B51+Лист6!B51+Лист7!B58+Лист8!B52+Лист9!B55+Лист10!B52</f>
        <v>14500</v>
      </c>
      <c r="C74" s="275">
        <f>Лист1!C64+Лист2!C55+Лист3!C51+Лист4!C52+Лист5!C51+Лист6!C51+Лист7!C58+Лист8!C52+Лист9!C55+Лист10!C52</f>
        <v>0</v>
      </c>
      <c r="D74" s="272">
        <f t="shared" si="2"/>
        <v>0</v>
      </c>
      <c r="E74" s="273">
        <f t="shared" si="3"/>
        <v>-14500</v>
      </c>
    </row>
    <row r="75" spans="1:5" ht="15">
      <c r="A75" s="274" t="s">
        <v>52</v>
      </c>
      <c r="B75" s="276">
        <f>SUM(B76:B80)</f>
        <v>371000</v>
      </c>
      <c r="C75" s="276">
        <f>SUM(C76:C80)</f>
        <v>112465.3</v>
      </c>
      <c r="D75" s="272">
        <f t="shared" si="2"/>
        <v>30.314097035040433</v>
      </c>
      <c r="E75" s="273">
        <f t="shared" si="3"/>
        <v>-258534.7</v>
      </c>
    </row>
    <row r="76" spans="1:5" ht="30.75">
      <c r="A76" s="292" t="s">
        <v>246</v>
      </c>
      <c r="B76" s="275">
        <f>Лист7!B61</f>
        <v>2000</v>
      </c>
      <c r="C76" s="275">
        <f>Лист7!C61</f>
        <v>0</v>
      </c>
      <c r="D76" s="272">
        <f>IF(B76=0,"   ",C76/B76*100)</f>
        <v>0</v>
      </c>
      <c r="E76" s="273">
        <f>C76-B76</f>
        <v>-2000</v>
      </c>
    </row>
    <row r="77" spans="1:5" ht="47.25" customHeight="1">
      <c r="A77" s="292" t="s">
        <v>247</v>
      </c>
      <c r="B77" s="275">
        <f>Лист3!B53+Лист7!B60+Лист1!B66+Лист2!B57+Лист4!B55+Лист5!B53+Лист6!B53+Лист8!B54+Лист9!B58+Лист10!B54</f>
        <v>219000</v>
      </c>
      <c r="C77" s="275">
        <f>Лист3!C53+Лист7!C60+Лист1!C66+Лист2!C57+Лист4!C55+Лист5!C53+Лист6!C53+Лист8!C54+Лист9!C58+Лист10!C54</f>
        <v>112465.3</v>
      </c>
      <c r="D77" s="272">
        <f>IF(B77=0,"   ",C77/B77*100)</f>
        <v>51.354018264840185</v>
      </c>
      <c r="E77" s="273">
        <f>C77-B77</f>
        <v>-106534.7</v>
      </c>
    </row>
    <row r="78" spans="1:5" ht="26.25" customHeight="1">
      <c r="A78" s="292" t="s">
        <v>224</v>
      </c>
      <c r="B78" s="275">
        <f>Лист3!B54</f>
        <v>0</v>
      </c>
      <c r="C78" s="275">
        <f>Лист3!C54</f>
        <v>0</v>
      </c>
      <c r="D78" s="272" t="str">
        <f t="shared" si="2"/>
        <v>   </v>
      </c>
      <c r="E78" s="273">
        <f>C78-B78</f>
        <v>0</v>
      </c>
    </row>
    <row r="79" spans="1:5" ht="33" customHeight="1">
      <c r="A79" s="292" t="s">
        <v>239</v>
      </c>
      <c r="B79" s="275">
        <f>Лист4!B54+Лист7!B63+Лист5!B54</f>
        <v>150000</v>
      </c>
      <c r="C79" s="275">
        <f>Лист4!C54+Лист7!C63+Лист5!C54</f>
        <v>0</v>
      </c>
      <c r="D79" s="272">
        <f>IF(B79=0,"   ",C79/B79*100)</f>
        <v>0</v>
      </c>
      <c r="E79" s="273">
        <f>C79-B79</f>
        <v>-150000</v>
      </c>
    </row>
    <row r="80" spans="1:5" ht="33" customHeight="1">
      <c r="A80" s="292" t="s">
        <v>254</v>
      </c>
      <c r="B80" s="275">
        <f>Лист7!B62</f>
        <v>0</v>
      </c>
      <c r="C80" s="275">
        <f>Лист7!C62</f>
        <v>0</v>
      </c>
      <c r="D80" s="275" t="str">
        <f>Лист7!D62</f>
        <v>   </v>
      </c>
      <c r="E80" s="275">
        <f>Лист7!E62</f>
        <v>0</v>
      </c>
    </row>
    <row r="81" spans="1:5" ht="15">
      <c r="A81" s="274" t="s">
        <v>49</v>
      </c>
      <c r="B81" s="276">
        <f>SUM(B82)</f>
        <v>1264800</v>
      </c>
      <c r="C81" s="276">
        <f>SUM(C82)</f>
        <v>561613.4</v>
      </c>
      <c r="D81" s="272">
        <f t="shared" si="2"/>
        <v>44.40333649588868</v>
      </c>
      <c r="E81" s="273">
        <f t="shared" si="3"/>
        <v>-703186.6</v>
      </c>
    </row>
    <row r="82" spans="1:5" ht="33" customHeight="1">
      <c r="A82" s="274" t="s">
        <v>107</v>
      </c>
      <c r="B82" s="275">
        <f>Лист1!B69+Лист2!B59+Лист3!B56+Лист4!B57+Лист5!B56+Лист6!B55+Лист7!B65+Лист8!B56+Лист9!B60+Лист10!B56</f>
        <v>1264800</v>
      </c>
      <c r="C82" s="275">
        <f>Лист1!C69+Лист2!C59+Лист3!C56+Лист4!C57+Лист5!C56+Лист6!C55+Лист7!C65+Лист8!C56+Лист9!C60+Лист10!C56</f>
        <v>561613.4</v>
      </c>
      <c r="D82" s="272">
        <f t="shared" si="2"/>
        <v>44.40333649588868</v>
      </c>
      <c r="E82" s="273">
        <f t="shared" si="3"/>
        <v>-703186.6</v>
      </c>
    </row>
    <row r="83" spans="1:5" ht="30.75">
      <c r="A83" s="274" t="s">
        <v>37</v>
      </c>
      <c r="B83" s="275">
        <f>Лист1!B70+Лист2!B60+Лист3!B57+Лист4!B58+Лист5!B57+Лист6!B56+Лист7!B66+Лист8!B57+Лист9!B61+Лист10!B57</f>
        <v>1073600</v>
      </c>
      <c r="C83" s="275">
        <f>Лист1!C70+Лист2!C60+Лист3!C57+Лист4!C58+Лист5!C57+Лист6!C56+Лист7!C66+Лист8!C57+Лист9!C61+Лист10!C57</f>
        <v>331774</v>
      </c>
      <c r="D83" s="272">
        <f t="shared" si="2"/>
        <v>30.902943368107305</v>
      </c>
      <c r="E83" s="273">
        <f t="shared" si="3"/>
        <v>-741826</v>
      </c>
    </row>
    <row r="84" spans="1:5" ht="45" customHeight="1">
      <c r="A84" s="274" t="s">
        <v>87</v>
      </c>
      <c r="B84" s="276">
        <f>Лист7!B67</f>
        <v>928400</v>
      </c>
      <c r="C84" s="276">
        <f>Лист7!C67</f>
        <v>320574</v>
      </c>
      <c r="D84" s="272">
        <f t="shared" si="2"/>
        <v>34.52972856527359</v>
      </c>
      <c r="E84" s="273">
        <f t="shared" si="3"/>
        <v>-607826</v>
      </c>
    </row>
    <row r="85" spans="1:5" ht="18.75" customHeight="1">
      <c r="A85" s="274" t="s">
        <v>96</v>
      </c>
      <c r="B85" s="275">
        <f>Лист7!B68</f>
        <v>928400</v>
      </c>
      <c r="C85" s="275">
        <f>Лист7!C68</f>
        <v>320574</v>
      </c>
      <c r="D85" s="272">
        <f t="shared" si="2"/>
        <v>34.52972856527359</v>
      </c>
      <c r="E85" s="273">
        <f t="shared" si="3"/>
        <v>-607826</v>
      </c>
    </row>
    <row r="86" spans="1:5" ht="15.75" customHeight="1">
      <c r="A86" s="274" t="s">
        <v>121</v>
      </c>
      <c r="B86" s="275">
        <f>Лист7!B69</f>
        <v>687711</v>
      </c>
      <c r="C86" s="275">
        <f>Лист7!C69</f>
        <v>247815.36</v>
      </c>
      <c r="D86" s="272">
        <f t="shared" si="2"/>
        <v>36.03481113432822</v>
      </c>
      <c r="E86" s="273">
        <f t="shared" si="3"/>
        <v>-439895.64</v>
      </c>
    </row>
    <row r="87" spans="1:5" ht="15">
      <c r="A87" s="274" t="s">
        <v>97</v>
      </c>
      <c r="B87" s="275">
        <f>Лист1!B71+Лист2!B61+Лист3!B58+Лист4!B59+Лист5!B58+Лист6!B57+Лист7!B70+Лист8!B58+Лист9!B62+Лист10!B58</f>
        <v>145200</v>
      </c>
      <c r="C87" s="275">
        <f>Лист1!C71+Лист2!C61+Лист3!C58+Лист4!C59+Лист5!C58+Лист6!C57+Лист7!C70+Лист8!C58+Лист9!C62+Лист10!C58</f>
        <v>11200</v>
      </c>
      <c r="D87" s="272">
        <f t="shared" si="2"/>
        <v>7.7134986225895315</v>
      </c>
      <c r="E87" s="273">
        <f t="shared" si="3"/>
        <v>-134000</v>
      </c>
    </row>
    <row r="88" spans="1:5" ht="15">
      <c r="A88" s="274" t="s">
        <v>38</v>
      </c>
      <c r="B88" s="276">
        <f>B96+B91+B111+B94+B89</f>
        <v>23261411.299999997</v>
      </c>
      <c r="C88" s="276">
        <f>C96+C91+C111+C94+C89</f>
        <v>3892386.25</v>
      </c>
      <c r="D88" s="272">
        <f t="shared" si="2"/>
        <v>16.733233421654</v>
      </c>
      <c r="E88" s="273">
        <f t="shared" si="3"/>
        <v>-19369025.049999997</v>
      </c>
    </row>
    <row r="89" spans="1:5" ht="15">
      <c r="A89" s="293" t="s">
        <v>244</v>
      </c>
      <c r="B89" s="276">
        <f>B90</f>
        <v>271300</v>
      </c>
      <c r="C89" s="276">
        <f>C90</f>
        <v>59450.53</v>
      </c>
      <c r="D89" s="272">
        <f>IF(B89=0,"   ",C89/B89*100)</f>
        <v>21.913206782159968</v>
      </c>
      <c r="E89" s="273">
        <f t="shared" si="3"/>
        <v>-211849.47</v>
      </c>
    </row>
    <row r="90" spans="1:5" ht="30.75">
      <c r="A90" s="294" t="s">
        <v>245</v>
      </c>
      <c r="B90" s="276">
        <f>Лист7!B73</f>
        <v>271300</v>
      </c>
      <c r="C90" s="276">
        <f>Лист7!C73</f>
        <v>59450.53</v>
      </c>
      <c r="D90" s="272">
        <f>IF(B90=0,"   ",C90/B90*100)</f>
        <v>21.913206782159968</v>
      </c>
      <c r="E90" s="273">
        <f t="shared" si="3"/>
        <v>-211849.47</v>
      </c>
    </row>
    <row r="91" spans="1:5" ht="15.75" customHeight="1">
      <c r="A91" s="295" t="s">
        <v>174</v>
      </c>
      <c r="B91" s="276">
        <f>B93+B92</f>
        <v>184900</v>
      </c>
      <c r="C91" s="276">
        <f>C93+C92</f>
        <v>0</v>
      </c>
      <c r="D91" s="272">
        <f t="shared" si="2"/>
        <v>0</v>
      </c>
      <c r="E91" s="273">
        <f>C91-B91</f>
        <v>-184900</v>
      </c>
    </row>
    <row r="92" spans="1:5" ht="30" customHeight="1">
      <c r="A92" s="294" t="s">
        <v>170</v>
      </c>
      <c r="B92" s="276">
        <f>Лист10!B61+Лист7!B75+Лист2!B65+Лист6!B61+Лист1!B75+Лист3!B62+Лист4!B63+Лист5!B62+Лист8!B62+Лист9!B66</f>
        <v>60000</v>
      </c>
      <c r="C92" s="276">
        <f>Лист10!C61+Лист7!C75+Лист2!C65+Лист6!C61+Лист1!C75+Лист3!C62+Лист4!C63+Лист5!C62+Лист8!C62+Лист9!C66</f>
        <v>0</v>
      </c>
      <c r="D92" s="272">
        <f t="shared" si="2"/>
        <v>0</v>
      </c>
      <c r="E92" s="273">
        <f>C92-B92</f>
        <v>-60000</v>
      </c>
    </row>
    <row r="93" spans="1:5" ht="30.75">
      <c r="A93" s="296" t="s">
        <v>167</v>
      </c>
      <c r="B93" s="276">
        <f>Лист1!B74+Лист2!B64+Лист3!B61+Лист4!B62+Лист5!B61+Лист6!B60+Лист7!B76+Лист8!B61+Лист9!B65+Лист10!B62</f>
        <v>124900</v>
      </c>
      <c r="C93" s="276">
        <f>Лист1!C74+Лист2!C64+Лист3!C61+Лист4!C62+Лист5!C61+Лист6!C60+Лист7!C76+Лист8!C61+Лист9!C65+Лист10!C62</f>
        <v>0</v>
      </c>
      <c r="D93" s="272">
        <f t="shared" si="2"/>
        <v>0</v>
      </c>
      <c r="E93" s="273">
        <f>C93-B93</f>
        <v>-124900</v>
      </c>
    </row>
    <row r="94" spans="1:5" ht="15">
      <c r="A94" s="293" t="s">
        <v>238</v>
      </c>
      <c r="B94" s="276">
        <f>B95</f>
        <v>316206.95</v>
      </c>
      <c r="C94" s="276">
        <f>C95</f>
        <v>92025.62</v>
      </c>
      <c r="D94" s="272">
        <f>IF(B94=0,"   ",C94/B94*100)</f>
        <v>29.102971961874967</v>
      </c>
      <c r="E94" s="273">
        <f>C94-B94</f>
        <v>-224181.33000000002</v>
      </c>
    </row>
    <row r="95" spans="1:5" ht="30.75">
      <c r="A95" s="294" t="s">
        <v>235</v>
      </c>
      <c r="B95" s="276">
        <f>Лист7!B78+Лист2!B67+Лист1!B77+Лист6!B63+Лист8!B64</f>
        <v>316206.95</v>
      </c>
      <c r="C95" s="276">
        <f>Лист7!C78+Лист1!C77+Лист6!C63+Лист8!C64</f>
        <v>92025.62</v>
      </c>
      <c r="D95" s="272">
        <f>IF(B95=0,"   ",C95/B95*100)</f>
        <v>29.102971961874967</v>
      </c>
      <c r="E95" s="273">
        <f>C95-B95</f>
        <v>-224181.33000000002</v>
      </c>
    </row>
    <row r="96" spans="1:5" ht="15">
      <c r="A96" s="297" t="s">
        <v>131</v>
      </c>
      <c r="B96" s="276">
        <f>SUM(B97,B101:B110)</f>
        <v>21725504.349999998</v>
      </c>
      <c r="C96" s="276">
        <f>SUM(C97,C101:C110)</f>
        <v>3590410.1</v>
      </c>
      <c r="D96" s="272">
        <f aca="true" t="shared" si="4" ref="D96:D117">IF(B96=0,"   ",C96/B96*100)</f>
        <v>16.526245108781563</v>
      </c>
      <c r="E96" s="273">
        <f t="shared" si="3"/>
        <v>-18135094.249999996</v>
      </c>
    </row>
    <row r="97" spans="1:5" ht="30.75">
      <c r="A97" s="292" t="s">
        <v>207</v>
      </c>
      <c r="B97" s="276">
        <f>Лист1!B80</f>
        <v>547011.86</v>
      </c>
      <c r="C97" s="276">
        <f>Лист1!C80</f>
        <v>0</v>
      </c>
      <c r="D97" s="272">
        <f t="shared" si="4"/>
        <v>0</v>
      </c>
      <c r="E97" s="273">
        <f t="shared" si="3"/>
        <v>-547011.86</v>
      </c>
    </row>
    <row r="98" spans="1:5" ht="46.5">
      <c r="A98" s="292" t="s">
        <v>217</v>
      </c>
      <c r="B98" s="276">
        <f>Лист1!B81</f>
        <v>328200</v>
      </c>
      <c r="C98" s="276">
        <f>Лист1!C81</f>
        <v>0</v>
      </c>
      <c r="D98" s="272">
        <f t="shared" si="4"/>
        <v>0</v>
      </c>
      <c r="E98" s="273">
        <f t="shared" si="3"/>
        <v>-328200</v>
      </c>
    </row>
    <row r="99" spans="1:5" ht="46.5">
      <c r="A99" s="292" t="s">
        <v>208</v>
      </c>
      <c r="B99" s="276">
        <f>Лист1!B82</f>
        <v>109811.86</v>
      </c>
      <c r="C99" s="276">
        <f>Лист1!C82</f>
        <v>0</v>
      </c>
      <c r="D99" s="272">
        <f t="shared" si="4"/>
        <v>0</v>
      </c>
      <c r="E99" s="273">
        <f t="shared" si="3"/>
        <v>-109811.86</v>
      </c>
    </row>
    <row r="100" spans="1:5" ht="46.5">
      <c r="A100" s="292" t="s">
        <v>218</v>
      </c>
      <c r="B100" s="276">
        <f>Лист1!B83</f>
        <v>109000</v>
      </c>
      <c r="C100" s="276">
        <f>Лист1!C83</f>
        <v>0</v>
      </c>
      <c r="D100" s="272">
        <f t="shared" si="4"/>
        <v>0</v>
      </c>
      <c r="E100" s="273">
        <f t="shared" si="3"/>
        <v>-109000</v>
      </c>
    </row>
    <row r="101" spans="1:5" ht="30.75">
      <c r="A101" s="296" t="s">
        <v>287</v>
      </c>
      <c r="B101" s="276">
        <f>Лист1!B79+Лист2!B69+Лист3!B64+Лист4!B65+Лист5!B64+Лист6!B65+Лист7!B80+Лист8!B66+Лист9!B68+Лист10!B64</f>
        <v>630000</v>
      </c>
      <c r="C101" s="276">
        <f>Лист1!C79+Лист2!C69+Лист3!C64+Лист4!C65+Лист5!C64+Лист6!C65+Лист7!C80+Лист8!C66+Лист9!C68+Лист10!C64</f>
        <v>364893.03</v>
      </c>
      <c r="D101" s="272">
        <f>IF(B101=0,"   ",C101/B101*100)</f>
        <v>57.91952857142858</v>
      </c>
      <c r="E101" s="273">
        <f>C101-B101</f>
        <v>-265106.97</v>
      </c>
    </row>
    <row r="102" spans="1:5" ht="30.75">
      <c r="A102" s="294" t="s">
        <v>274</v>
      </c>
      <c r="B102" s="276">
        <f>Лист7!B87</f>
        <v>130000</v>
      </c>
      <c r="C102" s="276">
        <f>Лист7!C87</f>
        <v>0</v>
      </c>
      <c r="D102" s="272">
        <f>IF(B102=0,"   ",C102/B102*100)</f>
        <v>0</v>
      </c>
      <c r="E102" s="273">
        <f>C102-B102</f>
        <v>-130000</v>
      </c>
    </row>
    <row r="103" spans="1:5" ht="42.75" customHeight="1">
      <c r="A103" s="292" t="s">
        <v>262</v>
      </c>
      <c r="B103" s="276">
        <f>Лист1!B84+Лист2!B70+Лист3!B65+Лист4!B66+Лист5!B65+Лист6!B66+Лист7!B81+Лист8!B67+Лист9!B69+Лист10!B65</f>
        <v>4721516.449999999</v>
      </c>
      <c r="C103" s="276">
        <f>Лист1!C84+Лист2!C70+Лист3!C65+Лист4!C66+Лист5!C65+Лист6!C66+Лист7!C81+Лист8!C67+Лист9!C69+Лист10!C65</f>
        <v>0</v>
      </c>
      <c r="D103" s="272">
        <f>IF(B103=0,"   ",C103/B103*100)</f>
        <v>0</v>
      </c>
      <c r="E103" s="273">
        <f>C103-B103</f>
        <v>-4721516.449999999</v>
      </c>
    </row>
    <row r="104" spans="1:5" ht="45" customHeight="1">
      <c r="A104" s="292" t="s">
        <v>263</v>
      </c>
      <c r="B104" s="276">
        <f>Лист1!B85+Лист2!B71+Лист3!B66+Лист4!B67+Лист5!B66+Лист6!B67+Лист7!B82+Лист8!B68+Лист9!B70+Лист10!B66</f>
        <v>1524376.04</v>
      </c>
      <c r="C104" s="276">
        <f>Лист1!C85+Лист2!C71+Лист3!C66+Лист4!C67+Лист5!C66+Лист6!C67+Лист7!C82+Лист8!C68+Лист9!C70+Лист10!C66</f>
        <v>731271.57</v>
      </c>
      <c r="D104" s="272">
        <f t="shared" si="4"/>
        <v>47.9718619822967</v>
      </c>
      <c r="E104" s="273">
        <f t="shared" si="3"/>
        <v>-793104.4700000001</v>
      </c>
    </row>
    <row r="105" spans="1:5" ht="44.25" customHeight="1">
      <c r="A105" s="292" t="s">
        <v>264</v>
      </c>
      <c r="B105" s="276">
        <f>Лист1!B86+Лист2!B72+Лист3!B67+Лист4!B68+Лист5!B67+Лист6!B68+Лист7!B83+Лист8!B69+Лист9!B71+Лист10!B67</f>
        <v>6600100</v>
      </c>
      <c r="C105" s="276">
        <f>Лист1!C86+Лист2!C72+Лист3!C67+Лист4!C68+Лист5!C67+Лист6!C68+Лист7!C83+Лист8!C69+Лист9!C71+Лист10!C67</f>
        <v>0</v>
      </c>
      <c r="D105" s="272">
        <f t="shared" si="4"/>
        <v>0</v>
      </c>
      <c r="E105" s="273">
        <f t="shared" si="3"/>
        <v>-6600100</v>
      </c>
    </row>
    <row r="106" spans="1:5" ht="48" customHeight="1">
      <c r="A106" s="292" t="s">
        <v>265</v>
      </c>
      <c r="B106" s="276">
        <f>Лист1!B87+Лист2!B73+Лист3!B68+Лист4!B69+Лист5!B68+Лист6!B69+Лист7!B84+Лист8!B70+Лист9!B72+Лист10!B68</f>
        <v>733600</v>
      </c>
      <c r="C106" s="276">
        <f>Лист1!C87+Лист2!C73+Лист3!C68+Лист4!C69+Лист5!C68+Лист6!C69+Лист7!C84+Лист8!C70+Лист9!C72+Лист10!C68</f>
        <v>65922.4</v>
      </c>
      <c r="D106" s="272">
        <f t="shared" si="4"/>
        <v>8.986150490730642</v>
      </c>
      <c r="E106" s="273">
        <f t="shared" si="3"/>
        <v>-667677.6</v>
      </c>
    </row>
    <row r="107" spans="1:5" ht="48" customHeight="1">
      <c r="A107" s="292" t="s">
        <v>266</v>
      </c>
      <c r="B107" s="276">
        <f>Лист1!B88+Лист2!B74+Лист3!B69+Лист4!B70+Лист5!B69+Лист6!B70+Лист7!B85+Лист8!B71+Лист9!B73+Лист10!B69</f>
        <v>4626700</v>
      </c>
      <c r="C107" s="276">
        <f>Лист1!C88+Лист2!C74+Лист3!C69+Лист4!C70+Лист5!C69+Лист6!C70+Лист7!C85+Лист8!C71+Лист9!C73+Лист10!C69</f>
        <v>2133206</v>
      </c>
      <c r="D107" s="272">
        <f t="shared" si="4"/>
        <v>46.1064257462122</v>
      </c>
      <c r="E107" s="273">
        <f>C107-B107</f>
        <v>-2493494</v>
      </c>
    </row>
    <row r="108" spans="1:5" ht="46.5" customHeight="1">
      <c r="A108" s="292" t="s">
        <v>267</v>
      </c>
      <c r="B108" s="276">
        <f>Лист1!B89+Лист2!B75+Лист3!B70+Лист4!B71+Лист5!B70+Лист6!B71+Лист7!B86+Лист8!B72+Лист9!B74+Лист10!B70</f>
        <v>514500</v>
      </c>
      <c r="C108" s="276">
        <f>Лист1!C89+Лист2!C75+Лист3!C70+Лист4!C71+Лист5!C70+Лист6!C71+Лист7!C86+Лист8!C72+Лист9!C74+Лист10!C70</f>
        <v>237022.9</v>
      </c>
      <c r="D108" s="272">
        <f t="shared" si="4"/>
        <v>46.0685908649174</v>
      </c>
      <c r="E108" s="273">
        <f t="shared" si="3"/>
        <v>-277477.1</v>
      </c>
    </row>
    <row r="109" spans="1:5" ht="45" customHeight="1">
      <c r="A109" s="292" t="s">
        <v>141</v>
      </c>
      <c r="B109" s="276">
        <f>Лист7!B88</f>
        <v>1612800</v>
      </c>
      <c r="C109" s="276">
        <f>Лист7!C88</f>
        <v>0</v>
      </c>
      <c r="D109" s="272">
        <f t="shared" si="4"/>
        <v>0</v>
      </c>
      <c r="E109" s="273">
        <f t="shared" si="3"/>
        <v>-1612800</v>
      </c>
    </row>
    <row r="110" spans="1:5" ht="36" customHeight="1">
      <c r="A110" s="292" t="s">
        <v>249</v>
      </c>
      <c r="B110" s="276">
        <f>Лист7!B89</f>
        <v>84900</v>
      </c>
      <c r="C110" s="276">
        <f>Лист7!C89</f>
        <v>58094.2</v>
      </c>
      <c r="D110" s="272">
        <f>IF(B110=0,"   ",C110/B110*100)</f>
        <v>68.4266195524146</v>
      </c>
      <c r="E110" s="273">
        <f>C110-B110</f>
        <v>-26805.800000000003</v>
      </c>
    </row>
    <row r="111" spans="1:5" ht="18.75" customHeight="1">
      <c r="A111" s="297" t="s">
        <v>178</v>
      </c>
      <c r="B111" s="276">
        <f>B112+B113</f>
        <v>763500</v>
      </c>
      <c r="C111" s="276">
        <f>C112+C113</f>
        <v>150500</v>
      </c>
      <c r="D111" s="272">
        <f t="shared" si="4"/>
        <v>19.71185330713818</v>
      </c>
      <c r="E111" s="273">
        <f aca="true" t="shared" si="5" ref="E111:E160">C111-B111</f>
        <v>-613000</v>
      </c>
    </row>
    <row r="112" spans="1:5" ht="63.75" customHeight="1">
      <c r="A112" s="292" t="s">
        <v>155</v>
      </c>
      <c r="B112" s="276">
        <f>Лист1!B91+Лист2!B77+Лист7!B91+Лист9!B76</f>
        <v>224100</v>
      </c>
      <c r="C112" s="276">
        <f>Лист1!C91+Лист2!C77+Лист7!C91+Лист9!C76</f>
        <v>65000</v>
      </c>
      <c r="D112" s="272">
        <f t="shared" si="4"/>
        <v>29.00490852298081</v>
      </c>
      <c r="E112" s="273">
        <f>C112-B112</f>
        <v>-159100</v>
      </c>
    </row>
    <row r="113" spans="1:5" ht="44.25" customHeight="1">
      <c r="A113" s="294" t="s">
        <v>179</v>
      </c>
      <c r="B113" s="276">
        <f>Лист1!B92+Лист2!B78+Лист3!B72+Лист4!B73+Лист5!B72+Лист6!B73+Лист7!B92+Лист8!B74+Лист9!B77+Лист10!B72</f>
        <v>539400</v>
      </c>
      <c r="C113" s="276">
        <f>Лист1!C92+Лист2!C78+Лист3!C72+Лист4!C73+Лист5!C72+Лист6!C73+Лист7!C92+Лист8!C74+Лист9!C77+Лист10!C72</f>
        <v>85500</v>
      </c>
      <c r="D113" s="272">
        <f>IF(B113=0,"   ",C113/B113*100)</f>
        <v>15.85094549499444</v>
      </c>
      <c r="E113" s="273">
        <f>C113-B113</f>
        <v>-453900</v>
      </c>
    </row>
    <row r="114" spans="1:5" ht="15.75" customHeight="1">
      <c r="A114" s="274" t="s">
        <v>13</v>
      </c>
      <c r="B114" s="275">
        <f>SUM(B115,B118,B128,)</f>
        <v>63976697.95000001</v>
      </c>
      <c r="C114" s="275">
        <f>SUM(C115,C118,C128,)</f>
        <v>4392162.889999999</v>
      </c>
      <c r="D114" s="272">
        <f t="shared" si="4"/>
        <v>6.8652541171046755</v>
      </c>
      <c r="E114" s="273">
        <f t="shared" si="5"/>
        <v>-59584535.06000001</v>
      </c>
    </row>
    <row r="115" spans="1:5" ht="14.25" customHeight="1">
      <c r="A115" s="274" t="s">
        <v>14</v>
      </c>
      <c r="B115" s="275">
        <f>SUM(B116:B117)</f>
        <v>412790.5</v>
      </c>
      <c r="C115" s="275">
        <f>SUM(C116:C117)</f>
        <v>81830.38</v>
      </c>
      <c r="D115" s="272">
        <f t="shared" si="4"/>
        <v>19.82370718318372</v>
      </c>
      <c r="E115" s="273">
        <f t="shared" si="5"/>
        <v>-330960.12</v>
      </c>
    </row>
    <row r="116" spans="1:5" ht="14.25" customHeight="1">
      <c r="A116" s="274" t="s">
        <v>92</v>
      </c>
      <c r="B116" s="275">
        <f>Лист7!B95+Лист9!B80+Лист1!B97</f>
        <v>300000</v>
      </c>
      <c r="C116" s="275">
        <f>Лист7!C95+Лист9!C80+Лист1!C97</f>
        <v>81830.38</v>
      </c>
      <c r="D116" s="272">
        <f t="shared" si="4"/>
        <v>27.276793333333334</v>
      </c>
      <c r="E116" s="273">
        <f t="shared" si="5"/>
        <v>-218169.62</v>
      </c>
    </row>
    <row r="117" spans="1:5" ht="21.75" customHeight="1">
      <c r="A117" s="274" t="s">
        <v>184</v>
      </c>
      <c r="B117" s="275">
        <f>Лист7!B96</f>
        <v>112790.5</v>
      </c>
      <c r="C117" s="275">
        <f>Лист7!C96</f>
        <v>0</v>
      </c>
      <c r="D117" s="272">
        <f t="shared" si="4"/>
        <v>0</v>
      </c>
      <c r="E117" s="273">
        <f>C117-B117</f>
        <v>-112790.5</v>
      </c>
    </row>
    <row r="118" spans="1:5" ht="14.25" customHeight="1">
      <c r="A118" s="274" t="s">
        <v>70</v>
      </c>
      <c r="B118" s="275">
        <f>SUM(B119:B120,B121:B123,B124)</f>
        <v>1754795.2399999998</v>
      </c>
      <c r="C118" s="275">
        <f>SUM(C119:C120,C121:C123,C124)</f>
        <v>327245.36</v>
      </c>
      <c r="D118" s="272">
        <f aca="true" t="shared" si="6" ref="D118:D143">IF(B118=0,"   ",C118/B118*100)</f>
        <v>18.648635039607246</v>
      </c>
      <c r="E118" s="273">
        <f t="shared" si="5"/>
        <v>-1427549.88</v>
      </c>
    </row>
    <row r="119" spans="1:5" ht="15">
      <c r="A119" s="274" t="s">
        <v>71</v>
      </c>
      <c r="B119" s="275">
        <f>Лист7!B105</f>
        <v>300000</v>
      </c>
      <c r="C119" s="275">
        <f>Лист7!C105</f>
        <v>144000</v>
      </c>
      <c r="D119" s="272">
        <f t="shared" si="6"/>
        <v>48</v>
      </c>
      <c r="E119" s="273">
        <f t="shared" si="5"/>
        <v>-156000</v>
      </c>
    </row>
    <row r="120" spans="1:5" ht="30.75">
      <c r="A120" s="274" t="s">
        <v>250</v>
      </c>
      <c r="B120" s="275">
        <f>Лист7!B104</f>
        <v>0</v>
      </c>
      <c r="C120" s="275">
        <f>Лист7!C104</f>
        <v>0</v>
      </c>
      <c r="D120" s="272" t="str">
        <f t="shared" si="6"/>
        <v>   </v>
      </c>
      <c r="E120" s="273">
        <f>C120-B120</f>
        <v>0</v>
      </c>
    </row>
    <row r="121" spans="1:5" ht="46.5">
      <c r="A121" s="274" t="s">
        <v>196</v>
      </c>
      <c r="B121" s="275">
        <f>Лист8!B79+Лист7!B98+Лист10!B75+Лист6!B76+Лист2!B81</f>
        <v>163220.36</v>
      </c>
      <c r="C121" s="275">
        <f>Лист8!C79+Лист7!C98+Лист10!C75+Лист6!C76+Лист2!C81</f>
        <v>63220.36</v>
      </c>
      <c r="D121" s="272">
        <f t="shared" si="6"/>
        <v>38.73313353799735</v>
      </c>
      <c r="E121" s="273">
        <f>C121-B121</f>
        <v>-99999.99999999999</v>
      </c>
    </row>
    <row r="122" spans="1:5" ht="30.75">
      <c r="A122" s="270" t="s">
        <v>227</v>
      </c>
      <c r="B122" s="275">
        <f>Лист4!B75</f>
        <v>0</v>
      </c>
      <c r="C122" s="275">
        <f>Лист4!C75</f>
        <v>0</v>
      </c>
      <c r="D122" s="272" t="str">
        <f t="shared" si="6"/>
        <v>   </v>
      </c>
      <c r="E122" s="273">
        <f>C122-B122</f>
        <v>0</v>
      </c>
    </row>
    <row r="123" spans="1:5" ht="17.25" customHeight="1">
      <c r="A123" s="270" t="s">
        <v>160</v>
      </c>
      <c r="B123" s="275">
        <f>Лист7!B99+Лист6!B77</f>
        <v>210400</v>
      </c>
      <c r="C123" s="275">
        <f>Лист7!C99+Лист6!C77</f>
        <v>120025</v>
      </c>
      <c r="D123" s="272">
        <f t="shared" si="6"/>
        <v>57.046102661596954</v>
      </c>
      <c r="E123" s="273">
        <f t="shared" si="5"/>
        <v>-90375</v>
      </c>
    </row>
    <row r="124" spans="1:5" ht="33" customHeight="1">
      <c r="A124" s="292" t="s">
        <v>207</v>
      </c>
      <c r="B124" s="275">
        <f>SUM(B125:B127)</f>
        <v>1081174.88</v>
      </c>
      <c r="C124" s="275">
        <f>SUM(C125:C127)</f>
        <v>0</v>
      </c>
      <c r="D124" s="272">
        <f t="shared" si="6"/>
        <v>0</v>
      </c>
      <c r="E124" s="273">
        <f>C124-B124</f>
        <v>-1081174.88</v>
      </c>
    </row>
    <row r="125" spans="1:5" ht="50.25" customHeight="1">
      <c r="A125" s="292" t="s">
        <v>188</v>
      </c>
      <c r="B125" s="275">
        <f>Лист1!B101+Лист9!B83</f>
        <v>876200</v>
      </c>
      <c r="C125" s="275">
        <f>Лист1!C101+Лист9!C83</f>
        <v>0</v>
      </c>
      <c r="D125" s="272">
        <f t="shared" si="6"/>
        <v>0</v>
      </c>
      <c r="E125" s="273">
        <f>C125-B125</f>
        <v>-876200</v>
      </c>
    </row>
    <row r="126" spans="1:5" ht="44.25" customHeight="1">
      <c r="A126" s="292" t="s">
        <v>201</v>
      </c>
      <c r="B126" s="275">
        <f>Лист1!B102+Лист9!B84</f>
        <v>102487.44</v>
      </c>
      <c r="C126" s="275">
        <f>Лист1!C102+Лист9!C84</f>
        <v>0</v>
      </c>
      <c r="D126" s="272">
        <f t="shared" si="6"/>
        <v>0</v>
      </c>
      <c r="E126" s="273">
        <f>C126-B126</f>
        <v>-102487.44</v>
      </c>
    </row>
    <row r="127" spans="1:5" ht="48" customHeight="1">
      <c r="A127" s="292" t="s">
        <v>213</v>
      </c>
      <c r="B127" s="275">
        <f>Лист1!B103+Лист9!B85</f>
        <v>102487.44</v>
      </c>
      <c r="C127" s="275">
        <f>Лист1!C103+Лист9!C85</f>
        <v>0</v>
      </c>
      <c r="D127" s="272">
        <f t="shared" si="6"/>
        <v>0</v>
      </c>
      <c r="E127" s="273">
        <f>C127-B127</f>
        <v>-102487.44</v>
      </c>
    </row>
    <row r="128" spans="1:5" ht="15">
      <c r="A128" s="274" t="s">
        <v>72</v>
      </c>
      <c r="B128" s="275">
        <f>B129+B132+B133+B134+B148+B139+B130+B131+B135+B144</f>
        <v>61809112.21000001</v>
      </c>
      <c r="C128" s="275">
        <f>C129+C132+C133+C134+C148+C139+C130+C131+C135+C144</f>
        <v>3983087.149999999</v>
      </c>
      <c r="D128" s="272">
        <f t="shared" si="6"/>
        <v>6.444174665488207</v>
      </c>
      <c r="E128" s="273">
        <f t="shared" si="5"/>
        <v>-57826025.06000001</v>
      </c>
    </row>
    <row r="129" spans="1:5" ht="15">
      <c r="A129" s="274" t="s">
        <v>60</v>
      </c>
      <c r="B129" s="275">
        <f>Лист1!B106+Лист2!B88+Лист3!B76+Лист4!B77+Лист5!B80+Лист6!B83+Лист7!B107+Лист8!B81+Лист9!B87+Лист10!B77</f>
        <v>5902300</v>
      </c>
      <c r="C129" s="275">
        <f>Лист1!C106+Лист2!C88+Лист3!C76+Лист4!C77+Лист5!C80+Лист6!C83+Лист7!C107+Лист8!C81+Лист9!C87+Лист10!C77</f>
        <v>2689574.269999999</v>
      </c>
      <c r="D129" s="272">
        <f t="shared" si="6"/>
        <v>45.56824068583432</v>
      </c>
      <c r="E129" s="273">
        <f t="shared" si="5"/>
        <v>-3212725.730000001</v>
      </c>
    </row>
    <row r="130" spans="1:5" ht="27" customHeight="1">
      <c r="A130" s="274" t="s">
        <v>219</v>
      </c>
      <c r="B130" s="275">
        <f>Лист7!B108</f>
        <v>6000</v>
      </c>
      <c r="C130" s="275">
        <f>Лист7!C108</f>
        <v>0</v>
      </c>
      <c r="D130" s="272">
        <f t="shared" si="6"/>
        <v>0</v>
      </c>
      <c r="E130" s="273">
        <f>C130-B130</f>
        <v>-6000</v>
      </c>
    </row>
    <row r="131" spans="1:5" ht="35.25" customHeight="1">
      <c r="A131" s="292" t="s">
        <v>255</v>
      </c>
      <c r="B131" s="275">
        <f>Лист7!B121</f>
        <v>1600000</v>
      </c>
      <c r="C131" s="275">
        <f>Лист7!C121</f>
        <v>608700</v>
      </c>
      <c r="D131" s="272">
        <f t="shared" si="6"/>
        <v>38.043749999999996</v>
      </c>
      <c r="E131" s="273">
        <f>C131-B131</f>
        <v>-991300</v>
      </c>
    </row>
    <row r="132" spans="1:5" ht="15">
      <c r="A132" s="274" t="s">
        <v>73</v>
      </c>
      <c r="B132" s="275">
        <f>Лист7!B109</f>
        <v>263000</v>
      </c>
      <c r="C132" s="275">
        <f>Лист7!C109</f>
        <v>0</v>
      </c>
      <c r="D132" s="272">
        <f t="shared" si="6"/>
        <v>0</v>
      </c>
      <c r="E132" s="273">
        <f t="shared" si="5"/>
        <v>-263000</v>
      </c>
    </row>
    <row r="133" spans="1:5" ht="15">
      <c r="A133" s="274" t="s">
        <v>74</v>
      </c>
      <c r="B133" s="275">
        <f>Лист7!B110</f>
        <v>100000</v>
      </c>
      <c r="C133" s="275">
        <f>Лист7!C110</f>
        <v>29028</v>
      </c>
      <c r="D133" s="272">
        <f t="shared" si="6"/>
        <v>29.028</v>
      </c>
      <c r="E133" s="273">
        <f t="shared" si="5"/>
        <v>-70972</v>
      </c>
    </row>
    <row r="134" spans="1:5" ht="15">
      <c r="A134" s="274" t="s">
        <v>75</v>
      </c>
      <c r="B134" s="275">
        <f>Лист1!B108+Лист3!B77+Лист4!B78+Лист5!B81+Лист7!B111+Лист8!B83+Лист9!B88+Лист10!B79+Лист6!B84+Лист2!B98</f>
        <v>1786078.8800000001</v>
      </c>
      <c r="C134" s="275">
        <f>Лист1!C108+Лист3!C77+Лист4!C78+Лист5!C81+Лист7!C111+Лист8!C83+Лист9!C88+Лист10!C79+Лист6!C84+Лист2!C98</f>
        <v>655784.88</v>
      </c>
      <c r="D134" s="272">
        <f t="shared" si="6"/>
        <v>36.71645677821351</v>
      </c>
      <c r="E134" s="273">
        <f t="shared" si="5"/>
        <v>-1130294</v>
      </c>
    </row>
    <row r="135" spans="1:5" ht="30.75">
      <c r="A135" s="292" t="s">
        <v>207</v>
      </c>
      <c r="B135" s="275">
        <f>SUM(B136:B138)</f>
        <v>3726710.98</v>
      </c>
      <c r="C135" s="275">
        <f>SUM(C136:C138)</f>
        <v>0</v>
      </c>
      <c r="D135" s="272">
        <f>IF(B135=0,"   ",C135/B135*100)</f>
        <v>0</v>
      </c>
      <c r="E135" s="273">
        <f aca="true" t="shared" si="7" ref="E135:E140">C135-B135</f>
        <v>-3726710.98</v>
      </c>
    </row>
    <row r="136" spans="1:5" ht="46.5">
      <c r="A136" s="292" t="s">
        <v>214</v>
      </c>
      <c r="B136" s="275">
        <f>Лист1!B110+Лист2!B90+Лист4!B80+Лист6!B86+Лист9!B90+Лист10!B81+Лист5!B84+Лист7!B118</f>
        <v>2878400</v>
      </c>
      <c r="C136" s="275">
        <f>Лист1!C110+Лист2!C90+Лист4!C80+Лист6!C86+Лист9!C90+Лист10!C81+Лист5!C84+Лист7!C118</f>
        <v>0</v>
      </c>
      <c r="D136" s="272">
        <f>IF(B136=0,"   ",C136/B136*100)</f>
        <v>0</v>
      </c>
      <c r="E136" s="273">
        <f t="shared" si="7"/>
        <v>-2878400</v>
      </c>
    </row>
    <row r="137" spans="1:5" ht="46.5">
      <c r="A137" s="292" t="s">
        <v>215</v>
      </c>
      <c r="B137" s="275">
        <f>Лист1!B111+Лист2!B91+Лист4!B81+Лист6!B87+Лист9!B91+Лист10!B82+Лист5!B85+Лист7!B119</f>
        <v>593280.19</v>
      </c>
      <c r="C137" s="275">
        <f>Лист1!C111+Лист2!C91+Лист4!C81+Лист6!C87+Лист9!C91+Лист10!C82+Лист5!C85+Лист7!C119</f>
        <v>0</v>
      </c>
      <c r="D137" s="272">
        <f>IF(B137=0,"   ",C137/B137*100)</f>
        <v>0</v>
      </c>
      <c r="E137" s="273">
        <f t="shared" si="7"/>
        <v>-593280.19</v>
      </c>
    </row>
    <row r="138" spans="1:5" ht="46.5">
      <c r="A138" s="292" t="s">
        <v>216</v>
      </c>
      <c r="B138" s="275">
        <f>Лист1!B112+Лист2!B92+Лист4!B82+Лист6!B88+Лист9!B92+Лист10!B83+Лист5!B86+Лист7!B120</f>
        <v>255030.79</v>
      </c>
      <c r="C138" s="275">
        <f>Лист1!C112+Лист2!C92+Лист4!C82+Лист6!C88+Лист9!C92+Лист10!C83+Лист5!C86+Лист7!C120</f>
        <v>0</v>
      </c>
      <c r="D138" s="272">
        <f>IF(B138=0,"   ",C138/B138*100)</f>
        <v>0</v>
      </c>
      <c r="E138" s="273">
        <f t="shared" si="7"/>
        <v>-255030.79</v>
      </c>
    </row>
    <row r="139" spans="1:5" ht="15">
      <c r="A139" s="292" t="s">
        <v>279</v>
      </c>
      <c r="B139" s="275">
        <f>SUM(B140:B143)</f>
        <v>521895</v>
      </c>
      <c r="C139" s="275">
        <f>SUM(C140:C143)</f>
        <v>0</v>
      </c>
      <c r="D139" s="272">
        <f t="shared" si="6"/>
        <v>0</v>
      </c>
      <c r="E139" s="273">
        <f t="shared" si="7"/>
        <v>-521895</v>
      </c>
    </row>
    <row r="140" spans="1:5" ht="15">
      <c r="A140" s="292" t="s">
        <v>280</v>
      </c>
      <c r="B140" s="275">
        <f>Лист2!B94+Лист9!B94</f>
        <v>360900</v>
      </c>
      <c r="C140" s="275">
        <f>Лист2!C94+Лист9!C94</f>
        <v>0</v>
      </c>
      <c r="D140" s="272">
        <f t="shared" si="6"/>
        <v>0</v>
      </c>
      <c r="E140" s="273">
        <f t="shared" si="7"/>
        <v>-360900</v>
      </c>
    </row>
    <row r="141" spans="1:5" ht="15">
      <c r="A141" s="292" t="s">
        <v>281</v>
      </c>
      <c r="B141" s="275">
        <f>Лист2!B95+Лист9!B95</f>
        <v>3645.45</v>
      </c>
      <c r="C141" s="275">
        <f>Лист2!C95+Лист9!C95</f>
        <v>0</v>
      </c>
      <c r="D141" s="272">
        <f t="shared" si="6"/>
        <v>0</v>
      </c>
      <c r="E141" s="273">
        <f t="shared" si="5"/>
        <v>-3645.45</v>
      </c>
    </row>
    <row r="142" spans="1:5" ht="15">
      <c r="A142" s="292" t="s">
        <v>282</v>
      </c>
      <c r="B142" s="275">
        <f>Лист2!B96+Лист9!B96</f>
        <v>79300</v>
      </c>
      <c r="C142" s="275">
        <f>Лист2!C96+Лист9!C96</f>
        <v>0</v>
      </c>
      <c r="D142" s="272">
        <f t="shared" si="6"/>
        <v>0</v>
      </c>
      <c r="E142" s="273">
        <f t="shared" si="5"/>
        <v>-79300</v>
      </c>
    </row>
    <row r="143" spans="1:5" ht="15">
      <c r="A143" s="292" t="s">
        <v>283</v>
      </c>
      <c r="B143" s="275">
        <f>Лист2!B97+Лист9!B97</f>
        <v>78049.54999999999</v>
      </c>
      <c r="C143" s="275">
        <f>Лист2!C97+Лист5!C86+Лист6!C88+Лист8!C87+Лист1!C112+Лист9!C97+Лист3!C82+Лист4!C82+Лист10!C83</f>
        <v>0</v>
      </c>
      <c r="D143" s="272">
        <f t="shared" si="6"/>
        <v>0</v>
      </c>
      <c r="E143" s="273">
        <f t="shared" si="5"/>
        <v>-78049.54999999999</v>
      </c>
    </row>
    <row r="144" spans="1:5" ht="27">
      <c r="A144" s="105" t="s">
        <v>294</v>
      </c>
      <c r="B144" s="271">
        <f>B145+B147+B146</f>
        <v>41689681.440000005</v>
      </c>
      <c r="C144" s="271">
        <f>C145+C147+C146</f>
        <v>0</v>
      </c>
      <c r="D144" s="272">
        <f>IF(B144=0,"   ",C144/B144*100)</f>
        <v>0</v>
      </c>
      <c r="E144" s="273">
        <f>C144-B144</f>
        <v>-41689681.440000005</v>
      </c>
    </row>
    <row r="145" spans="1:5" ht="27">
      <c r="A145" s="105" t="s">
        <v>278</v>
      </c>
      <c r="B145" s="271">
        <f>Лист7!B123</f>
        <v>39181634.7</v>
      </c>
      <c r="C145" s="271">
        <f>Лист7!C123</f>
        <v>0</v>
      </c>
      <c r="D145" s="272">
        <f>IF(B145=0,"   ",C145/B145*100)</f>
        <v>0</v>
      </c>
      <c r="E145" s="273">
        <f>C145-B145</f>
        <v>-39181634.7</v>
      </c>
    </row>
    <row r="146" spans="1:5" ht="27">
      <c r="A146" s="105" t="s">
        <v>295</v>
      </c>
      <c r="B146" s="271">
        <f>Лист7!B124</f>
        <v>2090039.29</v>
      </c>
      <c r="C146" s="271">
        <f>Лист7!C124</f>
        <v>0</v>
      </c>
      <c r="D146" s="272">
        <f>IF(B146=0,"   ",C146/B146*100)</f>
        <v>0</v>
      </c>
      <c r="E146" s="273">
        <f>C146-B146</f>
        <v>-2090039.29</v>
      </c>
    </row>
    <row r="147" spans="1:5" ht="27">
      <c r="A147" s="105" t="s">
        <v>296</v>
      </c>
      <c r="B147" s="271">
        <f>Лист7!B125</f>
        <v>418007.45</v>
      </c>
      <c r="C147" s="271">
        <f>Лист7!C125</f>
        <v>0</v>
      </c>
      <c r="D147" s="272">
        <f>IF(B147=0,"   ",C147/B147*100)</f>
        <v>0</v>
      </c>
      <c r="E147" s="273">
        <f>C147-B147</f>
        <v>-418007.45</v>
      </c>
    </row>
    <row r="148" spans="1:5" ht="33.75" customHeight="1">
      <c r="A148" s="292" t="s">
        <v>183</v>
      </c>
      <c r="B148" s="271">
        <f>B149+B151+B150</f>
        <v>6213445.91</v>
      </c>
      <c r="C148" s="271">
        <f>C149+C151+C150</f>
        <v>0</v>
      </c>
      <c r="D148" s="283">
        <f>IF(B148=0,"   ",C148/B148)</f>
        <v>0</v>
      </c>
      <c r="E148" s="284">
        <f t="shared" si="5"/>
        <v>-6213445.91</v>
      </c>
    </row>
    <row r="149" spans="1:5" ht="15">
      <c r="A149" s="292" t="s">
        <v>181</v>
      </c>
      <c r="B149" s="271">
        <f>Лист7!B114</f>
        <v>6151311.44</v>
      </c>
      <c r="C149" s="271">
        <f>Лист7!C114</f>
        <v>0</v>
      </c>
      <c r="D149" s="283">
        <f>IF(B149=0,"   ",C149/B149)</f>
        <v>0</v>
      </c>
      <c r="E149" s="284">
        <f t="shared" si="5"/>
        <v>-6151311.44</v>
      </c>
    </row>
    <row r="150" spans="1:5" ht="15">
      <c r="A150" s="292" t="s">
        <v>182</v>
      </c>
      <c r="B150" s="271">
        <f>Лист7!B115</f>
        <v>43494.12</v>
      </c>
      <c r="C150" s="271">
        <f>Лист7!C115</f>
        <v>0</v>
      </c>
      <c r="D150" s="283">
        <f>IF(B150=0,"   ",C150/B150)</f>
        <v>0</v>
      </c>
      <c r="E150" s="284">
        <f t="shared" si="5"/>
        <v>-43494.12</v>
      </c>
    </row>
    <row r="151" spans="1:5" ht="15">
      <c r="A151" s="292" t="s">
        <v>195</v>
      </c>
      <c r="B151" s="271">
        <f>Лист7!B116</f>
        <v>18640.35</v>
      </c>
      <c r="C151" s="271">
        <f>Лист7!C116</f>
        <v>0</v>
      </c>
      <c r="D151" s="283">
        <f>IF(B151=0,"   ",C151/B151)</f>
        <v>0</v>
      </c>
      <c r="E151" s="284">
        <f t="shared" si="5"/>
        <v>-18640.35</v>
      </c>
    </row>
    <row r="152" spans="1:5" ht="15">
      <c r="A152" s="274" t="s">
        <v>17</v>
      </c>
      <c r="B152" s="275">
        <f>Лист1!B113+Лист2!B100+Лист3!B84+Лист4!B84+Лист5!B88+Лист6!B89+Лист7!B126+Лист8!B89+Лист9!B98+Лист10!B84</f>
        <v>80000</v>
      </c>
      <c r="C152" s="275">
        <f>Лист1!C113+Лист2!C100+Лист3!C84+Лист4!C84+Лист5!C88+Лист6!C89+Лист7!C126+Лист8!C89+Лист9!C98+Лист10!C84</f>
        <v>0</v>
      </c>
      <c r="D152" s="272">
        <f aca="true" t="shared" si="8" ref="D152:D160">IF(B152=0,"   ",C152/B152*100)</f>
        <v>0</v>
      </c>
      <c r="E152" s="273">
        <f t="shared" si="5"/>
        <v>-80000</v>
      </c>
    </row>
    <row r="153" spans="1:5" ht="30.75">
      <c r="A153" s="274" t="s">
        <v>41</v>
      </c>
      <c r="B153" s="271">
        <f>SUM(B154,)</f>
        <v>20964076.78</v>
      </c>
      <c r="C153" s="271">
        <f>C154</f>
        <v>4777692.01</v>
      </c>
      <c r="D153" s="272">
        <f t="shared" si="8"/>
        <v>22.789899408105484</v>
      </c>
      <c r="E153" s="273">
        <f t="shared" si="5"/>
        <v>-16186384.770000001</v>
      </c>
    </row>
    <row r="154" spans="1:5" ht="15">
      <c r="A154" s="274" t="s">
        <v>42</v>
      </c>
      <c r="B154" s="275">
        <f>Лист1!B115+Лист2!B102+Лист3!B86+Лист4!B86+Лист5!B90+Лист6!B91+Лист7!B128+Лист8!B91+Лист9!B100+Лист10!B86</f>
        <v>20964076.78</v>
      </c>
      <c r="C154" s="275">
        <f>Лист1!C115+Лист2!C102+Лист3!C86+Лист4!C86+Лист5!C90+Лист6!C91+Лист7!C128+Лист8!C91+Лист9!C100+Лист10!C86</f>
        <v>4777692.01</v>
      </c>
      <c r="D154" s="272">
        <f t="shared" si="8"/>
        <v>22.789899408105484</v>
      </c>
      <c r="E154" s="273">
        <f t="shared" si="5"/>
        <v>-16186384.770000001</v>
      </c>
    </row>
    <row r="155" spans="1:5" ht="32.25" customHeight="1">
      <c r="A155" s="274" t="s">
        <v>143</v>
      </c>
      <c r="B155" s="275">
        <f>Лист1!B115+Лист2!B103+Лист3!B87+Лист4!B86+Лист5!B90+Лист6!B92+Лист7!B129+Лист8!B91+Лист9!B100+Лист10!B86</f>
        <v>10700000</v>
      </c>
      <c r="C155" s="275">
        <f>Лист1!C115+Лист2!C103+Лист3!C87+Лист4!C86+Лист5!C90+Лист6!C92+Лист7!C129+Лист8!C91+Лист9!C100+Лист10!C86</f>
        <v>4205300.140000001</v>
      </c>
      <c r="D155" s="272">
        <f t="shared" si="8"/>
        <v>39.301870467289724</v>
      </c>
      <c r="E155" s="273">
        <f t="shared" si="5"/>
        <v>-6494699.859999999</v>
      </c>
    </row>
    <row r="156" spans="1:5" ht="16.5" customHeight="1">
      <c r="A156" s="274" t="s">
        <v>268</v>
      </c>
      <c r="B156" s="275">
        <f>Лист2!B104</f>
        <v>100000</v>
      </c>
      <c r="C156" s="275">
        <f>Лист2!C104</f>
        <v>41928.26</v>
      </c>
      <c r="D156" s="272">
        <f t="shared" si="8"/>
        <v>41.92826</v>
      </c>
      <c r="E156" s="273">
        <f>C156-B156</f>
        <v>-58071.74</v>
      </c>
    </row>
    <row r="157" spans="1:5" ht="25.5" customHeight="1">
      <c r="A157" s="274" t="s">
        <v>204</v>
      </c>
      <c r="B157" s="275">
        <f>Лист3!B89+Лист6!B93</f>
        <v>553500</v>
      </c>
      <c r="C157" s="275">
        <f>Лист3!C89+Лист6!C93</f>
        <v>40696.6</v>
      </c>
      <c r="D157" s="272">
        <f t="shared" si="8"/>
        <v>7.352592592592592</v>
      </c>
      <c r="E157" s="273">
        <f t="shared" si="5"/>
        <v>-512803.4</v>
      </c>
    </row>
    <row r="158" spans="1:5" ht="25.5" customHeight="1">
      <c r="A158" s="16" t="s">
        <v>315</v>
      </c>
      <c r="B158" s="275">
        <v>938800</v>
      </c>
      <c r="C158" s="275">
        <v>0</v>
      </c>
      <c r="D158" s="272">
        <f>IF(B158=0,"   ",C158/B158*100)</f>
        <v>0</v>
      </c>
      <c r="E158" s="273">
        <f>C158-B158</f>
        <v>-938800</v>
      </c>
    </row>
    <row r="159" spans="1:5" ht="21.75" customHeight="1">
      <c r="A159" s="274" t="s">
        <v>194</v>
      </c>
      <c r="B159" s="275">
        <f>Лист7!B130</f>
        <v>1238800</v>
      </c>
      <c r="C159" s="275">
        <f>Лист7!C130</f>
        <v>0</v>
      </c>
      <c r="D159" s="272">
        <f t="shared" si="8"/>
        <v>0</v>
      </c>
      <c r="E159" s="273">
        <f t="shared" si="5"/>
        <v>-1238800</v>
      </c>
    </row>
    <row r="160" spans="1:5" ht="25.5" customHeight="1">
      <c r="A160" s="274" t="s">
        <v>144</v>
      </c>
      <c r="B160" s="275">
        <f>Лист7!B131</f>
        <v>1349988.39</v>
      </c>
      <c r="C160" s="275">
        <f>Лист7!C131</f>
        <v>489767.01</v>
      </c>
      <c r="D160" s="272">
        <f t="shared" si="8"/>
        <v>36.279349780185896</v>
      </c>
      <c r="E160" s="273">
        <f t="shared" si="5"/>
        <v>-860221.3799999999</v>
      </c>
    </row>
    <row r="161" spans="1:5" ht="30.75" customHeight="1">
      <c r="A161" s="274" t="s">
        <v>272</v>
      </c>
      <c r="B161" s="275">
        <f>Лист7!B133</f>
        <v>6082988.39</v>
      </c>
      <c r="C161" s="275">
        <f>Лист7!C133</f>
        <v>0</v>
      </c>
      <c r="D161" s="272">
        <f aca="true" t="shared" si="9" ref="D161:D166">IF(B161=0,"   ",C161/B161*100)</f>
        <v>0</v>
      </c>
      <c r="E161" s="273">
        <f aca="true" t="shared" si="10" ref="E161:E174">C161-B161</f>
        <v>-6082988.39</v>
      </c>
    </row>
    <row r="162" spans="1:5" ht="25.5" customHeight="1">
      <c r="A162" s="292" t="s">
        <v>181</v>
      </c>
      <c r="B162" s="275">
        <f>Лист7!B134</f>
        <v>4340232.21</v>
      </c>
      <c r="C162" s="275">
        <f>Лист7!C134</f>
        <v>0</v>
      </c>
      <c r="D162" s="272">
        <f t="shared" si="9"/>
        <v>0</v>
      </c>
      <c r="E162" s="273">
        <f t="shared" si="10"/>
        <v>-4340232.21</v>
      </c>
    </row>
    <row r="163" spans="1:5" ht="25.5" customHeight="1">
      <c r="A163" s="292" t="s">
        <v>182</v>
      </c>
      <c r="B163" s="275">
        <f>Лист7!B135</f>
        <v>1659767.79</v>
      </c>
      <c r="C163" s="275">
        <f>Лист7!C135</f>
        <v>0</v>
      </c>
      <c r="D163" s="272">
        <f t="shared" si="9"/>
        <v>0</v>
      </c>
      <c r="E163" s="273">
        <f t="shared" si="10"/>
        <v>-1659767.79</v>
      </c>
    </row>
    <row r="164" spans="1:5" ht="30.75" customHeight="1">
      <c r="A164" s="292" t="s">
        <v>193</v>
      </c>
      <c r="B164" s="275">
        <f>Лист7!B136</f>
        <v>82988.39</v>
      </c>
      <c r="C164" s="275">
        <f>Лист7!C136</f>
        <v>0</v>
      </c>
      <c r="D164" s="272">
        <f t="shared" si="9"/>
        <v>0</v>
      </c>
      <c r="E164" s="273">
        <f t="shared" si="10"/>
        <v>-82988.39</v>
      </c>
    </row>
    <row r="165" spans="1:5" ht="21.75" customHeight="1">
      <c r="A165" s="274" t="s">
        <v>236</v>
      </c>
      <c r="B165" s="275">
        <f>SUM(B166,)</f>
        <v>6000</v>
      </c>
      <c r="C165" s="275">
        <f>SUM(C166,)</f>
        <v>1219.77</v>
      </c>
      <c r="D165" s="272">
        <f t="shared" si="9"/>
        <v>20.3295</v>
      </c>
      <c r="E165" s="273">
        <f t="shared" si="10"/>
        <v>-4780.23</v>
      </c>
    </row>
    <row r="166" spans="1:5" ht="30.75" customHeight="1">
      <c r="A166" s="274" t="s">
        <v>237</v>
      </c>
      <c r="B166" s="275">
        <f>Лист10!B88</f>
        <v>6000</v>
      </c>
      <c r="C166" s="275">
        <f>Лист10!C88</f>
        <v>1219.77</v>
      </c>
      <c r="D166" s="272">
        <f t="shared" si="9"/>
        <v>20.3295</v>
      </c>
      <c r="E166" s="273">
        <f t="shared" si="10"/>
        <v>-4780.23</v>
      </c>
    </row>
    <row r="167" spans="1:5" ht="20.25" customHeight="1">
      <c r="A167" s="274" t="s">
        <v>124</v>
      </c>
      <c r="B167" s="275">
        <f>SUM(B168+B169)</f>
        <v>1525565</v>
      </c>
      <c r="C167" s="275">
        <f>SUM(C168+C169)</f>
        <v>40580</v>
      </c>
      <c r="D167" s="272">
        <f aca="true" t="shared" si="11" ref="D167:D174">IF(B167=0,"   ",C167/B167*100)</f>
        <v>2.6599980990649366</v>
      </c>
      <c r="E167" s="273">
        <f t="shared" si="10"/>
        <v>-1484985</v>
      </c>
    </row>
    <row r="168" spans="1:5" ht="33.75" customHeight="1">
      <c r="A168" s="274" t="s">
        <v>316</v>
      </c>
      <c r="B168" s="275">
        <f>Лист1!B117+Лист2!B106+Лист3!B91+Лист4!B88+Лист5!B92+Лист6!B95+Лист7!B138+Лист8!B93+Лист9!B102+Лист10!B90</f>
        <v>230000</v>
      </c>
      <c r="C168" s="275">
        <f>Лист1!C117+Лист2!C106+Лист3!C91+Лист4!C88+Лист5!C92+Лист6!C95+Лист7!C138+Лист8!C93+Лист9!C102+Лист10!C90</f>
        <v>40580</v>
      </c>
      <c r="D168" s="272">
        <f t="shared" si="11"/>
        <v>17.643478260869568</v>
      </c>
      <c r="E168" s="273">
        <f t="shared" si="10"/>
        <v>-189420</v>
      </c>
    </row>
    <row r="169" spans="1:5" ht="24" customHeight="1">
      <c r="A169" s="292" t="s">
        <v>279</v>
      </c>
      <c r="B169" s="275">
        <f>SUM(B170:B173)</f>
        <v>1295565</v>
      </c>
      <c r="C169" s="275">
        <f>SUM(C170:C173)</f>
        <v>0</v>
      </c>
      <c r="D169" s="272">
        <f>IF(B169=0,"   ",C169/B169*100)</f>
        <v>0</v>
      </c>
      <c r="E169" s="273">
        <f t="shared" si="10"/>
        <v>-1295565</v>
      </c>
    </row>
    <row r="170" spans="1:5" ht="24" customHeight="1">
      <c r="A170" s="292" t="s">
        <v>280</v>
      </c>
      <c r="B170" s="275">
        <f>Лист4!B90</f>
        <v>895900</v>
      </c>
      <c r="C170" s="275">
        <f>Лист4!C90</f>
        <v>0</v>
      </c>
      <c r="D170" s="272">
        <f t="shared" si="11"/>
        <v>0</v>
      </c>
      <c r="E170" s="273">
        <f t="shared" si="10"/>
        <v>-895900</v>
      </c>
    </row>
    <row r="171" spans="1:5" ht="22.5" customHeight="1">
      <c r="A171" s="292" t="s">
        <v>281</v>
      </c>
      <c r="B171" s="275">
        <f>Лист4!B91</f>
        <v>9049.49</v>
      </c>
      <c r="C171" s="275">
        <f>Лист4!C91</f>
        <v>0</v>
      </c>
      <c r="D171" s="272">
        <f t="shared" si="11"/>
        <v>0</v>
      </c>
      <c r="E171" s="273">
        <f t="shared" si="10"/>
        <v>-9049.49</v>
      </c>
    </row>
    <row r="172" spans="1:5" ht="22.5" customHeight="1">
      <c r="A172" s="292" t="s">
        <v>283</v>
      </c>
      <c r="B172" s="275">
        <f>Лист4!B93</f>
        <v>194015.51</v>
      </c>
      <c r="C172" s="275">
        <f>Лист4!C93</f>
        <v>0</v>
      </c>
      <c r="D172" s="272">
        <f>IF(B172=0,"   ",C172/B172*100)</f>
        <v>0</v>
      </c>
      <c r="E172" s="273">
        <f>C172-B172</f>
        <v>-194015.51</v>
      </c>
    </row>
    <row r="173" spans="1:5" ht="24" customHeight="1">
      <c r="A173" s="292" t="s">
        <v>282</v>
      </c>
      <c r="B173" s="275">
        <f>Лист4!B92</f>
        <v>196600</v>
      </c>
      <c r="C173" s="275">
        <f>Лист4!C93</f>
        <v>0</v>
      </c>
      <c r="D173" s="272">
        <f t="shared" si="11"/>
        <v>0</v>
      </c>
      <c r="E173" s="273">
        <f t="shared" si="10"/>
        <v>-196600</v>
      </c>
    </row>
    <row r="174" spans="1:6" ht="25.5" customHeight="1">
      <c r="A174" s="277" t="s">
        <v>15</v>
      </c>
      <c r="B174" s="278">
        <f>B70+B81+B83+B88+B114+B152+B153+B165+B167</f>
        <v>126210951.03</v>
      </c>
      <c r="C174" s="278">
        <f>C70+C81+C83+C88+C114+C152+C153+C165+C167</f>
        <v>20052608.499999996</v>
      </c>
      <c r="D174" s="279">
        <f t="shared" si="11"/>
        <v>15.88816844842057</v>
      </c>
      <c r="E174" s="280">
        <f t="shared" si="10"/>
        <v>-106158342.53</v>
      </c>
      <c r="F174" s="192"/>
    </row>
    <row r="175" spans="1:5" s="59" customFormat="1" ht="23.25" customHeight="1">
      <c r="A175" s="300" t="s">
        <v>288</v>
      </c>
      <c r="B175" s="301">
        <f>(B67-B174)</f>
        <v>-2159068.1400000006</v>
      </c>
      <c r="C175" s="301">
        <f>(C67-C174)</f>
        <v>3408182.060000006</v>
      </c>
      <c r="D175" s="268"/>
      <c r="E175" s="268"/>
    </row>
    <row r="176" spans="1:5" s="59" customFormat="1" ht="21" customHeight="1">
      <c r="A176" s="300" t="s">
        <v>289</v>
      </c>
      <c r="B176" s="300"/>
      <c r="C176" s="302"/>
      <c r="D176" s="302"/>
      <c r="E176" s="302"/>
    </row>
    <row r="177" spans="1:5" ht="15">
      <c r="A177" s="300" t="s">
        <v>290</v>
      </c>
      <c r="B177" s="301">
        <f>SUM(B8+B44+B45+B50+B53)</f>
        <v>20637100</v>
      </c>
      <c r="C177" s="301">
        <f>SUM(C8+C44+C45+C50+C53)</f>
        <v>6500908.11</v>
      </c>
      <c r="D177" s="279">
        <f>IF(B177=0,"   ",C177/B177*100)</f>
        <v>31.501073842739537</v>
      </c>
      <c r="E177" s="280">
        <f>C177-B177</f>
        <v>-14136191.89</v>
      </c>
    </row>
    <row r="178" spans="1:5" ht="15">
      <c r="A178" s="300" t="s">
        <v>291</v>
      </c>
      <c r="B178" s="301">
        <f>SUM(B96)</f>
        <v>21725504.349999998</v>
      </c>
      <c r="C178" s="301">
        <f>SUM(C96)</f>
        <v>3590410.1</v>
      </c>
      <c r="D178" s="279">
        <f>IF(B178=0,"   ",C178/B178*100)</f>
        <v>16.526245108781563</v>
      </c>
      <c r="E178" s="280">
        <f>C178-B178</f>
        <v>-18135094.249999996</v>
      </c>
    </row>
    <row r="179" spans="1:5" ht="15">
      <c r="A179" s="300" t="s">
        <v>288</v>
      </c>
      <c r="B179" s="301">
        <f>(B177-B178)</f>
        <v>-1088404.3499999978</v>
      </c>
      <c r="C179" s="301">
        <f>(C177-C178)</f>
        <v>2910498.0100000002</v>
      </c>
      <c r="D179" s="300"/>
      <c r="E179" s="303"/>
    </row>
    <row r="180" spans="1:5" ht="12.75">
      <c r="A180" s="147"/>
      <c r="B180" s="147"/>
      <c r="C180" s="298"/>
      <c r="D180" s="147"/>
      <c r="E180" s="299"/>
    </row>
  </sheetData>
  <sheetProtection/>
  <mergeCells count="1">
    <mergeCell ref="A1:E1"/>
  </mergeCells>
  <printOptions/>
  <pageMargins left="0.7874015748031497" right="0.7874015748031497" top="0.4724409448818898" bottom="0.31496062992125984" header="0.4724409448818898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2"/>
  <sheetViews>
    <sheetView zoomScalePageLayoutView="0" workbookViewId="0" topLeftCell="A88">
      <selection activeCell="C37" sqref="C37"/>
    </sheetView>
  </sheetViews>
  <sheetFormatPr defaultColWidth="9.00390625" defaultRowHeight="12.75"/>
  <cols>
    <col min="1" max="1" width="112.125" style="0" customWidth="1"/>
    <col min="2" max="2" width="13.625" style="0" customWidth="1"/>
    <col min="3" max="3" width="16.875" style="0" customWidth="1"/>
    <col min="4" max="4" width="18.50390625" style="0" customWidth="1"/>
    <col min="5" max="5" width="16.00390625" style="0" customWidth="1"/>
  </cols>
  <sheetData>
    <row r="1" spans="1:5" ht="17.25">
      <c r="A1" s="308" t="s">
        <v>299</v>
      </c>
      <c r="B1" s="308"/>
      <c r="C1" s="308"/>
      <c r="D1" s="308"/>
      <c r="E1" s="308"/>
    </row>
    <row r="2" spans="1:5" ht="13.5" thickBot="1">
      <c r="A2" s="4"/>
      <c r="B2" s="4"/>
      <c r="C2" s="5"/>
      <c r="D2" s="4"/>
      <c r="E2" s="4" t="s">
        <v>0</v>
      </c>
    </row>
    <row r="3" spans="1:5" ht="60.75" customHeight="1">
      <c r="A3" s="34" t="s">
        <v>1</v>
      </c>
      <c r="B3" s="19" t="s">
        <v>256</v>
      </c>
      <c r="C3" s="32" t="s">
        <v>300</v>
      </c>
      <c r="D3" s="19" t="s">
        <v>260</v>
      </c>
      <c r="E3" s="36" t="s">
        <v>258</v>
      </c>
    </row>
    <row r="4" spans="1:5" ht="12.75">
      <c r="A4" s="13">
        <v>1</v>
      </c>
      <c r="B4" s="74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.75" customHeight="1">
      <c r="A6" s="17" t="s">
        <v>45</v>
      </c>
      <c r="B6" s="217">
        <f>SUM(B7)</f>
        <v>65700</v>
      </c>
      <c r="C6" s="218">
        <f>SUM(C7)</f>
        <v>11896.62</v>
      </c>
      <c r="D6" s="26">
        <f aca="true" t="shared" si="0" ref="D6:D106">IF(B6=0,"   ",C6/B6*100)</f>
        <v>18.107488584474886</v>
      </c>
      <c r="E6" s="42">
        <f aca="true" t="shared" si="1" ref="E6:E106">C6-B6</f>
        <v>-53803.38</v>
      </c>
    </row>
    <row r="7" spans="1:5" ht="16.5" customHeight="1">
      <c r="A7" s="16" t="s">
        <v>44</v>
      </c>
      <c r="B7" s="219">
        <v>65700</v>
      </c>
      <c r="C7" s="239">
        <v>11896.62</v>
      </c>
      <c r="D7" s="26">
        <f t="shared" si="0"/>
        <v>18.107488584474886</v>
      </c>
      <c r="E7" s="42">
        <f t="shared" si="1"/>
        <v>-53803.38</v>
      </c>
    </row>
    <row r="8" spans="1:5" ht="12.75" customHeight="1">
      <c r="A8" s="64" t="s">
        <v>137</v>
      </c>
      <c r="B8" s="217">
        <f>SUM(B9)</f>
        <v>698900</v>
      </c>
      <c r="C8" s="220">
        <f>SUM(C9)</f>
        <v>302235.6</v>
      </c>
      <c r="D8" s="26">
        <f t="shared" si="0"/>
        <v>43.24446988124195</v>
      </c>
      <c r="E8" s="42">
        <f t="shared" si="1"/>
        <v>-396664.4</v>
      </c>
    </row>
    <row r="9" spans="1:5" ht="18.75" customHeight="1">
      <c r="A9" s="41" t="s">
        <v>138</v>
      </c>
      <c r="B9" s="219">
        <v>698900</v>
      </c>
      <c r="C9" s="239">
        <v>302235.6</v>
      </c>
      <c r="D9" s="26">
        <f t="shared" si="0"/>
        <v>43.24446988124195</v>
      </c>
      <c r="E9" s="42">
        <f t="shared" si="1"/>
        <v>-396664.4</v>
      </c>
    </row>
    <row r="10" spans="1:5" ht="16.5" customHeight="1">
      <c r="A10" s="16" t="s">
        <v>7</v>
      </c>
      <c r="B10" s="219">
        <f>SUM(B11:B11)</f>
        <v>93500</v>
      </c>
      <c r="C10" s="221">
        <f>SUM(C11:C11)</f>
        <v>104212.96</v>
      </c>
      <c r="D10" s="26">
        <f t="shared" si="0"/>
        <v>111.45771122994653</v>
      </c>
      <c r="E10" s="42">
        <f t="shared" si="1"/>
        <v>10712.960000000006</v>
      </c>
    </row>
    <row r="11" spans="1:5" ht="14.25" customHeight="1">
      <c r="A11" s="16" t="s">
        <v>26</v>
      </c>
      <c r="B11" s="219">
        <v>93500</v>
      </c>
      <c r="C11" s="239">
        <v>104212.96</v>
      </c>
      <c r="D11" s="26">
        <f t="shared" si="0"/>
        <v>111.45771122994653</v>
      </c>
      <c r="E11" s="42">
        <f t="shared" si="1"/>
        <v>10712.960000000006</v>
      </c>
    </row>
    <row r="12" spans="1:5" ht="14.25" customHeight="1">
      <c r="A12" s="16" t="s">
        <v>9</v>
      </c>
      <c r="B12" s="219">
        <f>SUM(B13:B14)</f>
        <v>126500</v>
      </c>
      <c r="C12" s="221">
        <f>SUM(C13:C14)</f>
        <v>11302.05</v>
      </c>
      <c r="D12" s="26">
        <f t="shared" si="0"/>
        <v>8.934426877470356</v>
      </c>
      <c r="E12" s="42">
        <f t="shared" si="1"/>
        <v>-115197.95</v>
      </c>
    </row>
    <row r="13" spans="1:5" ht="12.75" customHeight="1">
      <c r="A13" s="16" t="s">
        <v>27</v>
      </c>
      <c r="B13" s="219">
        <v>56000</v>
      </c>
      <c r="C13" s="239">
        <v>1503.02</v>
      </c>
      <c r="D13" s="26">
        <f t="shared" si="0"/>
        <v>2.6839642857142856</v>
      </c>
      <c r="E13" s="42">
        <f t="shared" si="1"/>
        <v>-54496.98</v>
      </c>
    </row>
    <row r="14" spans="1:5" ht="12.75">
      <c r="A14" s="41" t="s">
        <v>161</v>
      </c>
      <c r="B14" s="204">
        <f>SUM(B15:B16)</f>
        <v>70500</v>
      </c>
      <c r="C14" s="221">
        <f>SUM(C15:C16)</f>
        <v>9799.029999999999</v>
      </c>
      <c r="D14" s="26">
        <f t="shared" si="0"/>
        <v>13.899333333333333</v>
      </c>
      <c r="E14" s="42">
        <f t="shared" si="1"/>
        <v>-60700.97</v>
      </c>
    </row>
    <row r="15" spans="1:5" ht="12.75">
      <c r="A15" s="41" t="s">
        <v>162</v>
      </c>
      <c r="B15" s="204">
        <v>5000</v>
      </c>
      <c r="C15" s="239">
        <v>2229.25</v>
      </c>
      <c r="D15" s="26">
        <f t="shared" si="0"/>
        <v>44.585</v>
      </c>
      <c r="E15" s="42">
        <f t="shared" si="1"/>
        <v>-2770.75</v>
      </c>
    </row>
    <row r="16" spans="1:5" ht="12.75">
      <c r="A16" s="41" t="s">
        <v>163</v>
      </c>
      <c r="B16" s="204">
        <v>65500</v>
      </c>
      <c r="C16" s="239">
        <v>7569.78</v>
      </c>
      <c r="D16" s="26">
        <f t="shared" si="0"/>
        <v>11.556916030534351</v>
      </c>
      <c r="E16" s="42">
        <f t="shared" si="1"/>
        <v>-57930.22</v>
      </c>
    </row>
    <row r="17" spans="1:5" ht="12.75">
      <c r="A17" s="41" t="s">
        <v>197</v>
      </c>
      <c r="B17" s="204">
        <v>0</v>
      </c>
      <c r="C17" s="222">
        <v>0</v>
      </c>
      <c r="D17" s="26" t="str">
        <f t="shared" si="0"/>
        <v>   </v>
      </c>
      <c r="E17" s="42">
        <f t="shared" si="1"/>
        <v>0</v>
      </c>
    </row>
    <row r="18" spans="1:5" ht="18" customHeight="1">
      <c r="A18" s="16" t="s">
        <v>88</v>
      </c>
      <c r="B18" s="219">
        <v>0</v>
      </c>
      <c r="C18" s="222">
        <v>0</v>
      </c>
      <c r="D18" s="26" t="str">
        <f t="shared" si="0"/>
        <v>   </v>
      </c>
      <c r="E18" s="42">
        <f t="shared" si="1"/>
        <v>0</v>
      </c>
    </row>
    <row r="19" spans="1:5" ht="16.5" customHeight="1">
      <c r="A19" s="16" t="s">
        <v>78</v>
      </c>
      <c r="B19" s="217">
        <f>B21+B20</f>
        <v>0</v>
      </c>
      <c r="C19" s="220">
        <f>C21+C20</f>
        <v>0</v>
      </c>
      <c r="D19" s="26" t="str">
        <f t="shared" si="0"/>
        <v>   </v>
      </c>
      <c r="E19" s="42">
        <f t="shared" si="1"/>
        <v>0</v>
      </c>
    </row>
    <row r="20" spans="1:5" ht="16.5" customHeight="1">
      <c r="A20" s="156" t="s">
        <v>185</v>
      </c>
      <c r="B20" s="217">
        <v>0</v>
      </c>
      <c r="C20" s="220">
        <v>0</v>
      </c>
      <c r="D20" s="26" t="str">
        <f>IF(B20=0,"   ",C20/B20*100)</f>
        <v>   </v>
      </c>
      <c r="E20" s="42">
        <f>C20-B20</f>
        <v>0</v>
      </c>
    </row>
    <row r="21" spans="1:5" ht="22.5" customHeight="1">
      <c r="A21" s="16" t="s">
        <v>79</v>
      </c>
      <c r="B21" s="219">
        <v>0</v>
      </c>
      <c r="C21" s="222">
        <v>0</v>
      </c>
      <c r="D21" s="26" t="str">
        <f t="shared" si="0"/>
        <v>   </v>
      </c>
      <c r="E21" s="42">
        <f t="shared" si="1"/>
        <v>0</v>
      </c>
    </row>
    <row r="22" spans="1:5" ht="29.25" customHeight="1">
      <c r="A22" s="16" t="s">
        <v>28</v>
      </c>
      <c r="B22" s="219">
        <f>SUM(B23:B24)</f>
        <v>99200</v>
      </c>
      <c r="C22" s="220">
        <f>SUM(C23:C24)</f>
        <v>52547.49</v>
      </c>
      <c r="D22" s="26">
        <f t="shared" si="0"/>
        <v>52.97126008064515</v>
      </c>
      <c r="E22" s="42">
        <f t="shared" si="1"/>
        <v>-46652.51</v>
      </c>
    </row>
    <row r="23" spans="1:5" ht="15.75" customHeight="1">
      <c r="A23" s="41" t="s">
        <v>152</v>
      </c>
      <c r="B23" s="219">
        <v>99200</v>
      </c>
      <c r="C23" s="239">
        <v>52547.49</v>
      </c>
      <c r="D23" s="26">
        <f t="shared" si="0"/>
        <v>52.97126008064515</v>
      </c>
      <c r="E23" s="42">
        <f t="shared" si="1"/>
        <v>-46652.51</v>
      </c>
    </row>
    <row r="24" spans="1:5" ht="15.75" customHeight="1">
      <c r="A24" s="16" t="s">
        <v>30</v>
      </c>
      <c r="B24" s="219">
        <v>0</v>
      </c>
      <c r="C24" s="222">
        <v>0</v>
      </c>
      <c r="D24" s="26" t="str">
        <f t="shared" si="0"/>
        <v>   </v>
      </c>
      <c r="E24" s="42">
        <f t="shared" si="1"/>
        <v>0</v>
      </c>
    </row>
    <row r="25" spans="1:5" ht="18" customHeight="1">
      <c r="A25" s="16" t="s">
        <v>175</v>
      </c>
      <c r="B25" s="217">
        <f>SUM(B26)</f>
        <v>0</v>
      </c>
      <c r="C25" s="220">
        <f>SUM(C26)</f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176</v>
      </c>
      <c r="B26" s="219">
        <v>0</v>
      </c>
      <c r="C26" s="222">
        <v>0</v>
      </c>
      <c r="D26" s="26" t="str">
        <f t="shared" si="0"/>
        <v>   </v>
      </c>
      <c r="E26" s="42">
        <f t="shared" si="1"/>
        <v>0</v>
      </c>
    </row>
    <row r="27" spans="1:5" ht="17.25" customHeight="1">
      <c r="A27" s="16" t="s">
        <v>31</v>
      </c>
      <c r="B27" s="219">
        <v>0</v>
      </c>
      <c r="C27" s="222">
        <v>0</v>
      </c>
      <c r="D27" s="26" t="str">
        <f t="shared" si="0"/>
        <v>   </v>
      </c>
      <c r="E27" s="42">
        <f t="shared" si="1"/>
        <v>0</v>
      </c>
    </row>
    <row r="28" spans="1:5" ht="16.5" customHeight="1">
      <c r="A28" s="16" t="s">
        <v>32</v>
      </c>
      <c r="B28" s="219">
        <f>SUM(B29:B30)</f>
        <v>0</v>
      </c>
      <c r="C28" s="221">
        <f>SUM(C29:C30)</f>
        <v>-30255.76</v>
      </c>
      <c r="D28" s="26" t="str">
        <f t="shared" si="0"/>
        <v>   </v>
      </c>
      <c r="E28" s="42">
        <f t="shared" si="1"/>
        <v>-30255.76</v>
      </c>
    </row>
    <row r="29" spans="1:5" ht="15.75" customHeight="1">
      <c r="A29" s="16" t="s">
        <v>105</v>
      </c>
      <c r="B29" s="219">
        <v>0</v>
      </c>
      <c r="C29" s="221">
        <v>-30255.76</v>
      </c>
      <c r="D29" s="26" t="str">
        <f t="shared" si="0"/>
        <v>   </v>
      </c>
      <c r="E29" s="42">
        <f t="shared" si="1"/>
        <v>-30255.76</v>
      </c>
    </row>
    <row r="30" spans="1:5" s="9" customFormat="1" ht="15" customHeight="1">
      <c r="A30" s="16" t="s">
        <v>108</v>
      </c>
      <c r="B30" s="223">
        <v>0</v>
      </c>
      <c r="C30" s="220">
        <v>0</v>
      </c>
      <c r="D30" s="26" t="str">
        <f t="shared" si="0"/>
        <v>   </v>
      </c>
      <c r="E30" s="40">
        <f>C30-B30</f>
        <v>0</v>
      </c>
    </row>
    <row r="31" spans="1:5" ht="19.5" customHeight="1">
      <c r="A31" s="173" t="s">
        <v>10</v>
      </c>
      <c r="B31" s="209">
        <f>SUM(B6,B8,B10,B12,B17,B18,B19,B22,B27,B28,B25)</f>
        <v>1083800</v>
      </c>
      <c r="C31" s="213">
        <f>SUM(C6,C8,C10,C12,C17,C18,C19,C22,C27,C28,C25)</f>
        <v>451938.95999999996</v>
      </c>
      <c r="D31" s="141">
        <f t="shared" si="0"/>
        <v>41.6994796087839</v>
      </c>
      <c r="E31" s="142">
        <f t="shared" si="1"/>
        <v>-631861.04</v>
      </c>
    </row>
    <row r="32" spans="1:5" ht="19.5" customHeight="1">
      <c r="A32" s="181" t="s">
        <v>140</v>
      </c>
      <c r="B32" s="224">
        <f>SUM(B33:B37,B40:B44,B47)</f>
        <v>3349840</v>
      </c>
      <c r="C32" s="224">
        <f>SUM(C33:C37,C40:C44,C47)</f>
        <v>979380</v>
      </c>
      <c r="D32" s="141">
        <f t="shared" si="0"/>
        <v>29.236620256489864</v>
      </c>
      <c r="E32" s="142">
        <f t="shared" si="1"/>
        <v>-2370460</v>
      </c>
    </row>
    <row r="33" spans="1:5" ht="18.75" customHeight="1">
      <c r="A33" s="17" t="s">
        <v>34</v>
      </c>
      <c r="B33" s="217">
        <v>1568500</v>
      </c>
      <c r="C33" s="239">
        <v>784280</v>
      </c>
      <c r="D33" s="26">
        <f t="shared" si="0"/>
        <v>50.001912655403245</v>
      </c>
      <c r="E33" s="42">
        <f t="shared" si="1"/>
        <v>-784220</v>
      </c>
    </row>
    <row r="34" spans="1:5" ht="18.75" customHeight="1">
      <c r="A34" s="17" t="s">
        <v>232</v>
      </c>
      <c r="B34" s="217">
        <v>0</v>
      </c>
      <c r="C34" s="239">
        <v>0</v>
      </c>
      <c r="D34" s="26" t="str">
        <f>IF(B34=0,"   ",C34/B34*100)</f>
        <v>   </v>
      </c>
      <c r="E34" s="42">
        <f>C34-B34</f>
        <v>0</v>
      </c>
    </row>
    <row r="35" spans="1:5" ht="15.75" customHeight="1">
      <c r="A35" s="41" t="s">
        <v>147</v>
      </c>
      <c r="B35" s="219">
        <v>0</v>
      </c>
      <c r="C35" s="222">
        <v>0</v>
      </c>
      <c r="D35" s="26" t="str">
        <f t="shared" si="0"/>
        <v>   </v>
      </c>
      <c r="E35" s="42">
        <f t="shared" si="1"/>
        <v>0</v>
      </c>
    </row>
    <row r="36" spans="1:5" ht="35.25" customHeight="1">
      <c r="A36" s="134" t="s">
        <v>51</v>
      </c>
      <c r="B36" s="135">
        <v>90300</v>
      </c>
      <c r="C36" s="243">
        <v>33000</v>
      </c>
      <c r="D36" s="136">
        <f t="shared" si="0"/>
        <v>36.544850498338874</v>
      </c>
      <c r="E36" s="137">
        <f t="shared" si="1"/>
        <v>-57300</v>
      </c>
    </row>
    <row r="37" spans="1:5" ht="32.25" customHeight="1">
      <c r="A37" s="109" t="s">
        <v>148</v>
      </c>
      <c r="B37" s="135">
        <f>SUM(B38:B39)</f>
        <v>6700</v>
      </c>
      <c r="C37" s="135">
        <f>SUM(C38:C39)</f>
        <v>100</v>
      </c>
      <c r="D37" s="136">
        <f t="shared" si="0"/>
        <v>1.4925373134328357</v>
      </c>
      <c r="E37" s="137">
        <f t="shared" si="1"/>
        <v>-6600</v>
      </c>
    </row>
    <row r="38" spans="1:5" ht="15.75" customHeight="1">
      <c r="A38" s="109" t="s">
        <v>164</v>
      </c>
      <c r="B38" s="135">
        <v>100</v>
      </c>
      <c r="C38" s="135">
        <v>100</v>
      </c>
      <c r="D38" s="136">
        <f>IF(B38=0,"   ",C38/B38*100)</f>
        <v>100</v>
      </c>
      <c r="E38" s="137">
        <f>C38-B38</f>
        <v>0</v>
      </c>
    </row>
    <row r="39" spans="1:5" ht="24.75" customHeight="1">
      <c r="A39" s="109" t="s">
        <v>165</v>
      </c>
      <c r="B39" s="135">
        <v>6600</v>
      </c>
      <c r="C39" s="135">
        <v>0</v>
      </c>
      <c r="D39" s="136">
        <f>IF(B39=0,"   ",C39/B39*100)</f>
        <v>0</v>
      </c>
      <c r="E39" s="137">
        <f>C39-B39</f>
        <v>-6600</v>
      </c>
    </row>
    <row r="40" spans="1:5" ht="26.25" customHeight="1">
      <c r="A40" s="16" t="s">
        <v>253</v>
      </c>
      <c r="B40" s="135">
        <v>0</v>
      </c>
      <c r="C40" s="135">
        <v>0</v>
      </c>
      <c r="D40" s="136" t="str">
        <f t="shared" si="0"/>
        <v>   </v>
      </c>
      <c r="E40" s="137">
        <f t="shared" si="1"/>
        <v>0</v>
      </c>
    </row>
    <row r="41" spans="1:5" ht="18" customHeight="1">
      <c r="A41" s="16" t="s">
        <v>171</v>
      </c>
      <c r="B41" s="225">
        <v>0</v>
      </c>
      <c r="C41" s="225">
        <v>0</v>
      </c>
      <c r="D41" s="136" t="str">
        <f t="shared" si="0"/>
        <v>   </v>
      </c>
      <c r="E41" s="137">
        <f t="shared" si="1"/>
        <v>0</v>
      </c>
    </row>
    <row r="42" spans="1:5" ht="54.75" customHeight="1">
      <c r="A42" s="16" t="s">
        <v>241</v>
      </c>
      <c r="B42" s="135">
        <v>628400</v>
      </c>
      <c r="C42" s="135">
        <v>0</v>
      </c>
      <c r="D42" s="136">
        <f t="shared" si="0"/>
        <v>0</v>
      </c>
      <c r="E42" s="137">
        <f t="shared" si="1"/>
        <v>-628400</v>
      </c>
    </row>
    <row r="43" spans="1:5" ht="26.25" customHeight="1">
      <c r="A43" s="16" t="s">
        <v>284</v>
      </c>
      <c r="B43" s="135">
        <v>152929.29</v>
      </c>
      <c r="C43" s="135">
        <v>0</v>
      </c>
      <c r="D43" s="136">
        <f t="shared" si="0"/>
        <v>0</v>
      </c>
      <c r="E43" s="137">
        <f t="shared" si="1"/>
        <v>-152929.29</v>
      </c>
    </row>
    <row r="44" spans="1:5" ht="16.5" customHeight="1">
      <c r="A44" s="16" t="s">
        <v>80</v>
      </c>
      <c r="B44" s="219">
        <f>B46+B45</f>
        <v>870300</v>
      </c>
      <c r="C44" s="226">
        <f>C46+C45</f>
        <v>162000</v>
      </c>
      <c r="D44" s="26">
        <f t="shared" si="0"/>
        <v>18.61427094105481</v>
      </c>
      <c r="E44" s="42">
        <f t="shared" si="1"/>
        <v>-708300</v>
      </c>
    </row>
    <row r="45" spans="1:5" ht="15" customHeight="1">
      <c r="A45" s="46" t="s">
        <v>189</v>
      </c>
      <c r="B45" s="219">
        <v>436900</v>
      </c>
      <c r="C45" s="226">
        <v>0</v>
      </c>
      <c r="D45" s="26">
        <f t="shared" si="0"/>
        <v>0</v>
      </c>
      <c r="E45" s="42">
        <f t="shared" si="1"/>
        <v>-436900</v>
      </c>
    </row>
    <row r="46" spans="1:5" s="7" customFormat="1" ht="16.5" customHeight="1">
      <c r="A46" s="46" t="s">
        <v>109</v>
      </c>
      <c r="B46" s="227">
        <v>433400</v>
      </c>
      <c r="C46" s="226">
        <v>162000</v>
      </c>
      <c r="D46" s="47">
        <f t="shared" si="0"/>
        <v>37.3788647900323</v>
      </c>
      <c r="E46" s="40">
        <f t="shared" si="1"/>
        <v>-271400</v>
      </c>
    </row>
    <row r="47" spans="1:5" s="7" customFormat="1" ht="19.5" customHeight="1">
      <c r="A47" s="16" t="s">
        <v>200</v>
      </c>
      <c r="B47" s="248">
        <v>32710.71</v>
      </c>
      <c r="C47" s="226">
        <v>0</v>
      </c>
      <c r="D47" s="47">
        <f>IF(B47=0,"   ",C47/B47*100)</f>
        <v>0</v>
      </c>
      <c r="E47" s="40">
        <f>C47-B47</f>
        <v>-32710.71</v>
      </c>
    </row>
    <row r="48" spans="1:5" ht="21.75" customHeight="1">
      <c r="A48" s="173" t="s">
        <v>11</v>
      </c>
      <c r="B48" s="213">
        <f>B31+B32</f>
        <v>4433640</v>
      </c>
      <c r="C48" s="213">
        <f>C31+C32</f>
        <v>1431318.96</v>
      </c>
      <c r="D48" s="141">
        <f t="shared" si="0"/>
        <v>32.283156954556524</v>
      </c>
      <c r="E48" s="142">
        <f t="shared" si="1"/>
        <v>-3002321.04</v>
      </c>
    </row>
    <row r="49" spans="1:5" ht="12.75">
      <c r="A49" s="30"/>
      <c r="B49" s="217"/>
      <c r="C49" s="228"/>
      <c r="D49" s="26" t="str">
        <f t="shared" si="0"/>
        <v>   </v>
      </c>
      <c r="E49" s="42"/>
    </row>
    <row r="50" spans="1:5" ht="13.5" thickBot="1">
      <c r="A50" s="106" t="s">
        <v>12</v>
      </c>
      <c r="B50" s="229"/>
      <c r="C50" s="230"/>
      <c r="D50" s="112" t="str">
        <f t="shared" si="0"/>
        <v>   </v>
      </c>
      <c r="E50" s="113"/>
    </row>
    <row r="51" spans="1:5" ht="13.5" thickBot="1">
      <c r="A51" s="129" t="s">
        <v>35</v>
      </c>
      <c r="B51" s="130">
        <f>SUM(B52,B55+B56)</f>
        <v>1156400</v>
      </c>
      <c r="C51" s="130">
        <f>SUM(C52,C55+C56)</f>
        <v>416685.97</v>
      </c>
      <c r="D51" s="131">
        <f t="shared" si="0"/>
        <v>36.033030958145964</v>
      </c>
      <c r="E51" s="132">
        <f t="shared" si="1"/>
        <v>-739714.03</v>
      </c>
    </row>
    <row r="52" spans="1:5" ht="13.5" thickBot="1">
      <c r="A52" s="117" t="s">
        <v>36</v>
      </c>
      <c r="B52" s="118">
        <v>1140900</v>
      </c>
      <c r="C52" s="130">
        <v>403320.67</v>
      </c>
      <c r="D52" s="119">
        <f t="shared" si="0"/>
        <v>35.35109737926199</v>
      </c>
      <c r="E52" s="120">
        <f t="shared" si="1"/>
        <v>-737579.3300000001</v>
      </c>
    </row>
    <row r="53" spans="1:5" ht="12.75">
      <c r="A53" s="85" t="s">
        <v>120</v>
      </c>
      <c r="B53" s="25">
        <v>758679</v>
      </c>
      <c r="C53" s="28">
        <v>262789.77</v>
      </c>
      <c r="D53" s="26">
        <f t="shared" si="0"/>
        <v>34.6378072939939</v>
      </c>
      <c r="E53" s="42">
        <f t="shared" si="1"/>
        <v>-495889.23</v>
      </c>
    </row>
    <row r="54" spans="1:5" ht="12.75">
      <c r="A54" s="85" t="s">
        <v>293</v>
      </c>
      <c r="B54" s="25">
        <v>100</v>
      </c>
      <c r="C54" s="28">
        <v>100</v>
      </c>
      <c r="D54" s="26">
        <f>IF(B54=0,"   ",C54/B54*100)</f>
        <v>100</v>
      </c>
      <c r="E54" s="42">
        <f>C54-B54</f>
        <v>0</v>
      </c>
    </row>
    <row r="55" spans="1:5" ht="12.75">
      <c r="A55" s="16" t="s">
        <v>95</v>
      </c>
      <c r="B55" s="25">
        <v>500</v>
      </c>
      <c r="C55" s="28">
        <v>0</v>
      </c>
      <c r="D55" s="26">
        <f t="shared" si="0"/>
        <v>0</v>
      </c>
      <c r="E55" s="42">
        <f t="shared" si="1"/>
        <v>-500</v>
      </c>
    </row>
    <row r="56" spans="1:5" ht="12.75">
      <c r="A56" s="105" t="s">
        <v>53</v>
      </c>
      <c r="B56" s="31">
        <f>SUM(B57)</f>
        <v>15000</v>
      </c>
      <c r="C56" s="31">
        <f>SUM(C57)</f>
        <v>13365.3</v>
      </c>
      <c r="D56" s="112">
        <f t="shared" si="0"/>
        <v>89.10199999999999</v>
      </c>
      <c r="E56" s="113">
        <f t="shared" si="1"/>
        <v>-1634.7000000000007</v>
      </c>
    </row>
    <row r="57" spans="1:5" ht="29.25" customHeight="1" thickBot="1">
      <c r="A57" s="105" t="s">
        <v>252</v>
      </c>
      <c r="B57" s="122">
        <v>15000</v>
      </c>
      <c r="C57" s="123">
        <v>13365.3</v>
      </c>
      <c r="D57" s="112">
        <f t="shared" si="0"/>
        <v>89.10199999999999</v>
      </c>
      <c r="E57" s="113">
        <f t="shared" si="1"/>
        <v>-1634.7000000000007</v>
      </c>
    </row>
    <row r="58" spans="1:5" ht="13.5" thickBot="1">
      <c r="A58" s="129" t="s">
        <v>49</v>
      </c>
      <c r="B58" s="183">
        <f>SUM(B59)</f>
        <v>90300</v>
      </c>
      <c r="C58" s="183">
        <f>SUM(C59)</f>
        <v>25689.86</v>
      </c>
      <c r="D58" s="131">
        <f t="shared" si="0"/>
        <v>28.449457364341086</v>
      </c>
      <c r="E58" s="132">
        <f t="shared" si="1"/>
        <v>-64610.14</v>
      </c>
    </row>
    <row r="59" spans="1:5" ht="16.5" customHeight="1" thickBot="1">
      <c r="A59" s="121" t="s">
        <v>107</v>
      </c>
      <c r="B59" s="122">
        <v>90300</v>
      </c>
      <c r="C59" s="123">
        <v>25689.86</v>
      </c>
      <c r="D59" s="124">
        <f t="shared" si="0"/>
        <v>28.449457364341086</v>
      </c>
      <c r="E59" s="125">
        <f t="shared" si="1"/>
        <v>-64610.14</v>
      </c>
    </row>
    <row r="60" spans="1:5" ht="13.5" thickBot="1">
      <c r="A60" s="129" t="s">
        <v>37</v>
      </c>
      <c r="B60" s="130">
        <f>SUM(B61)</f>
        <v>1000</v>
      </c>
      <c r="C60" s="183">
        <f>SUM(C61)</f>
        <v>1000</v>
      </c>
      <c r="D60" s="131">
        <f t="shared" si="0"/>
        <v>100</v>
      </c>
      <c r="E60" s="132">
        <f t="shared" si="1"/>
        <v>0</v>
      </c>
    </row>
    <row r="61" spans="1:5" ht="13.5" thickBot="1">
      <c r="A61" s="75" t="s">
        <v>128</v>
      </c>
      <c r="B61" s="122">
        <v>1000</v>
      </c>
      <c r="C61" s="123">
        <v>1000</v>
      </c>
      <c r="D61" s="124">
        <f t="shared" si="0"/>
        <v>100</v>
      </c>
      <c r="E61" s="125">
        <f t="shared" si="1"/>
        <v>0</v>
      </c>
    </row>
    <row r="62" spans="1:5" ht="13.5" thickBot="1">
      <c r="A62" s="129" t="s">
        <v>38</v>
      </c>
      <c r="B62" s="99">
        <f>B63+B66+B68+B76</f>
        <v>2060857.1500000001</v>
      </c>
      <c r="C62" s="99">
        <f>C63+C66+C68+C76</f>
        <v>395288</v>
      </c>
      <c r="D62" s="131">
        <f t="shared" si="0"/>
        <v>19.180756900108285</v>
      </c>
      <c r="E62" s="132">
        <f t="shared" si="1"/>
        <v>-1665569.1500000001</v>
      </c>
    </row>
    <row r="63" spans="1:5" ht="15.75" customHeight="1" thickBot="1">
      <c r="A63" s="75" t="s">
        <v>177</v>
      </c>
      <c r="B63" s="99">
        <f>SUM(B64+B65)</f>
        <v>6600</v>
      </c>
      <c r="C63" s="99">
        <f>SUM(C64+C65)</f>
        <v>0</v>
      </c>
      <c r="D63" s="131">
        <f>IF(B63=0,"   ",C63/B63*100)</f>
        <v>0</v>
      </c>
      <c r="E63" s="132">
        <f>C63-B63</f>
        <v>-6600</v>
      </c>
    </row>
    <row r="64" spans="1:5" ht="18" customHeight="1" thickBot="1">
      <c r="A64" s="75" t="s">
        <v>167</v>
      </c>
      <c r="B64" s="252">
        <v>6600</v>
      </c>
      <c r="C64" s="130">
        <v>0</v>
      </c>
      <c r="D64" s="131">
        <f>IF(B64=0,"   ",C64/B64*100)</f>
        <v>0</v>
      </c>
      <c r="E64" s="132">
        <f>C64-B64</f>
        <v>-6600</v>
      </c>
    </row>
    <row r="65" spans="1:5" ht="18" customHeight="1" thickBot="1">
      <c r="A65" s="75" t="s">
        <v>190</v>
      </c>
      <c r="B65" s="118">
        <v>0</v>
      </c>
      <c r="C65" s="118">
        <v>0</v>
      </c>
      <c r="D65" s="131" t="str">
        <f>IF(B65=0,"   ",C65/B65*100)</f>
        <v>   </v>
      </c>
      <c r="E65" s="132">
        <f>C65-B65</f>
        <v>0</v>
      </c>
    </row>
    <row r="66" spans="1:5" ht="18" customHeight="1" thickBot="1">
      <c r="A66" s="75" t="s">
        <v>234</v>
      </c>
      <c r="B66" s="99">
        <f>SUM(B67)</f>
        <v>54181.33</v>
      </c>
      <c r="C66" s="99">
        <f>SUM(C67)</f>
        <v>0</v>
      </c>
      <c r="D66" s="131">
        <f>IF(B66=0,"   ",C66/B66*100)</f>
        <v>0</v>
      </c>
      <c r="E66" s="132">
        <f>C66-B66</f>
        <v>-54181.33</v>
      </c>
    </row>
    <row r="67" spans="1:5" ht="18" customHeight="1" thickBot="1">
      <c r="A67" s="75" t="s">
        <v>235</v>
      </c>
      <c r="B67" s="118">
        <v>54181.33</v>
      </c>
      <c r="C67" s="118">
        <v>0</v>
      </c>
      <c r="D67" s="131">
        <f>IF(B67=0,"   ",C67/B67*100)</f>
        <v>0</v>
      </c>
      <c r="E67" s="132">
        <f>C67-B67</f>
        <v>-54181.33</v>
      </c>
    </row>
    <row r="68" spans="1:5" ht="12.75">
      <c r="A68" s="96" t="s">
        <v>131</v>
      </c>
      <c r="B68" s="118">
        <f>SUM(B69:B75)</f>
        <v>1870075.82</v>
      </c>
      <c r="C68" s="118">
        <f>SUM(C69:C75)</f>
        <v>395288</v>
      </c>
      <c r="D68" s="119">
        <f t="shared" si="0"/>
        <v>21.137538690810942</v>
      </c>
      <c r="E68" s="120">
        <f t="shared" si="1"/>
        <v>-1474787.82</v>
      </c>
    </row>
    <row r="69" spans="1:5" ht="19.5" customHeight="1">
      <c r="A69" s="75" t="s">
        <v>149</v>
      </c>
      <c r="B69" s="25">
        <v>0</v>
      </c>
      <c r="C69" s="25">
        <v>0</v>
      </c>
      <c r="D69" s="119" t="str">
        <f t="shared" si="0"/>
        <v>   </v>
      </c>
      <c r="E69" s="120">
        <f t="shared" si="1"/>
        <v>0</v>
      </c>
    </row>
    <row r="70" spans="1:5" ht="26.25">
      <c r="A70" s="71" t="s">
        <v>262</v>
      </c>
      <c r="B70" s="25">
        <v>416975.82</v>
      </c>
      <c r="C70" s="25">
        <v>0</v>
      </c>
      <c r="D70" s="26">
        <f t="shared" si="0"/>
        <v>0</v>
      </c>
      <c r="E70" s="27">
        <f t="shared" si="1"/>
        <v>-416975.82</v>
      </c>
    </row>
    <row r="71" spans="1:5" ht="26.25">
      <c r="A71" s="71" t="s">
        <v>263</v>
      </c>
      <c r="B71" s="25">
        <v>273200</v>
      </c>
      <c r="C71" s="25">
        <v>215288</v>
      </c>
      <c r="D71" s="26">
        <f t="shared" si="0"/>
        <v>78.80234260614934</v>
      </c>
      <c r="E71" s="27">
        <f t="shared" si="1"/>
        <v>-57912</v>
      </c>
    </row>
    <row r="72" spans="1:5" ht="26.25">
      <c r="A72" s="71" t="s">
        <v>264</v>
      </c>
      <c r="B72" s="25">
        <v>628400</v>
      </c>
      <c r="C72" s="25">
        <v>0</v>
      </c>
      <c r="D72" s="26">
        <f t="shared" si="0"/>
        <v>0</v>
      </c>
      <c r="E72" s="27">
        <f t="shared" si="1"/>
        <v>-628400</v>
      </c>
    </row>
    <row r="73" spans="1:5" ht="26.25">
      <c r="A73" s="71" t="s">
        <v>265</v>
      </c>
      <c r="B73" s="25">
        <v>69900</v>
      </c>
      <c r="C73" s="25">
        <v>0</v>
      </c>
      <c r="D73" s="26">
        <f t="shared" si="0"/>
        <v>0</v>
      </c>
      <c r="E73" s="27">
        <f t="shared" si="1"/>
        <v>-69900</v>
      </c>
    </row>
    <row r="74" spans="1:5" ht="26.25">
      <c r="A74" s="71" t="s">
        <v>266</v>
      </c>
      <c r="B74" s="25">
        <v>433400</v>
      </c>
      <c r="C74" s="25">
        <v>162000</v>
      </c>
      <c r="D74" s="26">
        <f t="shared" si="0"/>
        <v>37.3788647900323</v>
      </c>
      <c r="E74" s="27">
        <f t="shared" si="1"/>
        <v>-271400</v>
      </c>
    </row>
    <row r="75" spans="1:5" ht="27" thickBot="1">
      <c r="A75" s="71" t="s">
        <v>267</v>
      </c>
      <c r="B75" s="114">
        <v>48200</v>
      </c>
      <c r="C75" s="114">
        <v>18000</v>
      </c>
      <c r="D75" s="112">
        <f t="shared" si="0"/>
        <v>37.344398340248965</v>
      </c>
      <c r="E75" s="113">
        <f t="shared" si="1"/>
        <v>-30200</v>
      </c>
    </row>
    <row r="76" spans="1:5" ht="12.75">
      <c r="A76" s="96" t="s">
        <v>178</v>
      </c>
      <c r="B76" s="304">
        <f>SUM(B77+B78)</f>
        <v>130000</v>
      </c>
      <c r="C76" s="304">
        <f>SUM(C78)</f>
        <v>0</v>
      </c>
      <c r="D76" s="112">
        <f>IF(B76=0,"   ",C76/B76*100)</f>
        <v>0</v>
      </c>
      <c r="E76" s="113">
        <f>C76-B76</f>
        <v>-130000</v>
      </c>
    </row>
    <row r="77" spans="1:5" ht="26.25">
      <c r="A77" s="105" t="s">
        <v>155</v>
      </c>
      <c r="B77" s="31">
        <v>40000</v>
      </c>
      <c r="C77" s="31"/>
      <c r="D77" s="112"/>
      <c r="E77" s="113"/>
    </row>
    <row r="78" spans="1:5" ht="27" thickBot="1">
      <c r="A78" s="75" t="s">
        <v>179</v>
      </c>
      <c r="B78" s="122">
        <v>90000</v>
      </c>
      <c r="C78" s="122">
        <v>0</v>
      </c>
      <c r="D78" s="112">
        <f>IF(B78=0,"   ",C78/B78*100)</f>
        <v>0</v>
      </c>
      <c r="E78" s="113">
        <f>C78-B78</f>
        <v>-90000</v>
      </c>
    </row>
    <row r="79" spans="1:5" ht="13.5" customHeight="1" thickBot="1">
      <c r="A79" s="129" t="s">
        <v>13</v>
      </c>
      <c r="B79" s="130">
        <f>SUM(B87,B86,B80)</f>
        <v>727450.18</v>
      </c>
      <c r="C79" s="130">
        <f>SUM(C87,C86,C80)</f>
        <v>36296.85</v>
      </c>
      <c r="D79" s="131">
        <f t="shared" si="0"/>
        <v>4.989599425214246</v>
      </c>
      <c r="E79" s="132">
        <f t="shared" si="1"/>
        <v>-691153.3300000001</v>
      </c>
    </row>
    <row r="80" spans="1:5" ht="13.5" customHeight="1" thickBot="1">
      <c r="A80" s="41" t="s">
        <v>150</v>
      </c>
      <c r="B80" s="118">
        <f>SUM(B81+B82)</f>
        <v>6610.18</v>
      </c>
      <c r="C80" s="118">
        <f>SUM(C81+C82)</f>
        <v>6610.18</v>
      </c>
      <c r="D80" s="131">
        <f t="shared" si="0"/>
        <v>100</v>
      </c>
      <c r="E80" s="305">
        <f t="shared" si="1"/>
        <v>0</v>
      </c>
    </row>
    <row r="81" spans="1:5" ht="30.75" customHeight="1" thickBot="1">
      <c r="A81" s="16" t="s">
        <v>196</v>
      </c>
      <c r="B81" s="118">
        <v>6610.18</v>
      </c>
      <c r="C81" s="118">
        <v>6610.18</v>
      </c>
      <c r="D81" s="131">
        <f t="shared" si="0"/>
        <v>100</v>
      </c>
      <c r="E81" s="27">
        <f t="shared" si="1"/>
        <v>0</v>
      </c>
    </row>
    <row r="82" spans="1:5" ht="19.5" customHeight="1" thickBot="1">
      <c r="A82" s="105" t="s">
        <v>207</v>
      </c>
      <c r="B82" s="118">
        <f>SUM(B83+B84+B85)</f>
        <v>0</v>
      </c>
      <c r="C82" s="118">
        <f>SUM(C83+C84+C85)</f>
        <v>0</v>
      </c>
      <c r="D82" s="131" t="str">
        <f>IF(B82=0,"   ",C82/B82*100)</f>
        <v>   </v>
      </c>
      <c r="E82" s="27">
        <f>C82-B82</f>
        <v>0</v>
      </c>
    </row>
    <row r="83" spans="1:5" ht="30.75" customHeight="1" thickBot="1">
      <c r="A83" s="105" t="s">
        <v>217</v>
      </c>
      <c r="B83" s="118">
        <v>0</v>
      </c>
      <c r="C83" s="118">
        <v>0</v>
      </c>
      <c r="D83" s="131" t="str">
        <f>IF(B83=0,"   ",C83/B83*100)</f>
        <v>   </v>
      </c>
      <c r="E83" s="27">
        <f>C83-B83</f>
        <v>0</v>
      </c>
    </row>
    <row r="84" spans="1:5" ht="30.75" customHeight="1" thickBot="1">
      <c r="A84" s="105" t="s">
        <v>208</v>
      </c>
      <c r="B84" s="118">
        <v>0</v>
      </c>
      <c r="C84" s="118">
        <v>0</v>
      </c>
      <c r="D84" s="131" t="str">
        <f>IF(B84=0,"   ",C84/B84*100)</f>
        <v>   </v>
      </c>
      <c r="E84" s="27">
        <f>C84-B84</f>
        <v>0</v>
      </c>
    </row>
    <row r="85" spans="1:5" ht="30.75" customHeight="1" thickBot="1">
      <c r="A85" s="105" t="s">
        <v>218</v>
      </c>
      <c r="B85" s="118">
        <v>0</v>
      </c>
      <c r="C85" s="118">
        <v>0</v>
      </c>
      <c r="D85" s="131" t="str">
        <f>IF(B85=0,"   ",C85/B85*100)</f>
        <v>   </v>
      </c>
      <c r="E85" s="27">
        <f>C85-B85</f>
        <v>0</v>
      </c>
    </row>
    <row r="86" spans="1:5" ht="13.5" customHeight="1" thickBot="1">
      <c r="A86" s="117" t="s">
        <v>85</v>
      </c>
      <c r="B86" s="118">
        <v>0</v>
      </c>
      <c r="C86" s="118">
        <v>0</v>
      </c>
      <c r="D86" s="131" t="str">
        <f t="shared" si="0"/>
        <v>   </v>
      </c>
      <c r="E86" s="27">
        <f t="shared" si="1"/>
        <v>0</v>
      </c>
    </row>
    <row r="87" spans="1:5" ht="12.75">
      <c r="A87" s="16" t="s">
        <v>58</v>
      </c>
      <c r="B87" s="25">
        <f>B88+B98+B89+B93</f>
        <v>720840</v>
      </c>
      <c r="C87" s="25">
        <f>C88+C98+C89+C93</f>
        <v>29686.67</v>
      </c>
      <c r="D87" s="26">
        <f t="shared" si="0"/>
        <v>4.118343876588424</v>
      </c>
      <c r="E87" s="42">
        <f t="shared" si="1"/>
        <v>-691153.33</v>
      </c>
    </row>
    <row r="88" spans="1:5" ht="12.75">
      <c r="A88" s="16" t="s">
        <v>56</v>
      </c>
      <c r="B88" s="25">
        <v>59000</v>
      </c>
      <c r="C88" s="27">
        <v>29686.67</v>
      </c>
      <c r="D88" s="26">
        <f t="shared" si="0"/>
        <v>50.31638983050847</v>
      </c>
      <c r="E88" s="42">
        <f t="shared" si="1"/>
        <v>-29313.33</v>
      </c>
    </row>
    <row r="89" spans="1:5" ht="12.75">
      <c r="A89" s="105" t="s">
        <v>207</v>
      </c>
      <c r="B89" s="25">
        <f>SUM(B90:B92)</f>
        <v>436900</v>
      </c>
      <c r="C89" s="25">
        <f>SUM(C90:C92)</f>
        <v>0</v>
      </c>
      <c r="D89" s="112">
        <f t="shared" si="0"/>
        <v>0</v>
      </c>
      <c r="E89" s="113">
        <f t="shared" si="1"/>
        <v>-436900</v>
      </c>
    </row>
    <row r="90" spans="1:5" ht="26.25">
      <c r="A90" s="105" t="s">
        <v>214</v>
      </c>
      <c r="B90" s="25">
        <v>436900</v>
      </c>
      <c r="C90" s="27">
        <v>0</v>
      </c>
      <c r="D90" s="112">
        <f t="shared" si="0"/>
        <v>0</v>
      </c>
      <c r="E90" s="113">
        <f t="shared" si="1"/>
        <v>-436900</v>
      </c>
    </row>
    <row r="91" spans="1:5" ht="26.25">
      <c r="A91" s="105" t="s">
        <v>215</v>
      </c>
      <c r="B91" s="25">
        <v>0</v>
      </c>
      <c r="C91" s="27">
        <v>0</v>
      </c>
      <c r="D91" s="112" t="str">
        <f t="shared" si="0"/>
        <v>   </v>
      </c>
      <c r="E91" s="113">
        <f t="shared" si="1"/>
        <v>0</v>
      </c>
    </row>
    <row r="92" spans="1:5" ht="26.25">
      <c r="A92" s="105" t="s">
        <v>216</v>
      </c>
      <c r="B92" s="25">
        <v>0</v>
      </c>
      <c r="C92" s="27">
        <v>0</v>
      </c>
      <c r="D92" s="112" t="str">
        <f t="shared" si="0"/>
        <v>   </v>
      </c>
      <c r="E92" s="113">
        <f t="shared" si="1"/>
        <v>0</v>
      </c>
    </row>
    <row r="93" spans="1:5" ht="15">
      <c r="A93" s="292" t="s">
        <v>279</v>
      </c>
      <c r="B93" s="25">
        <f>SUM(B95+B96+B97+B94)</f>
        <v>218940</v>
      </c>
      <c r="C93" s="25">
        <f>SUM(C95+C96+C97)</f>
        <v>0</v>
      </c>
      <c r="D93" s="112">
        <f>IF(B93=0,"   ",C93/B93*100)</f>
        <v>0</v>
      </c>
      <c r="E93" s="113">
        <f>C93-B93</f>
        <v>-218940</v>
      </c>
    </row>
    <row r="94" spans="1:5" ht="15">
      <c r="A94" s="292" t="s">
        <v>280</v>
      </c>
      <c r="B94" s="114">
        <v>151400</v>
      </c>
      <c r="C94" s="114">
        <v>0</v>
      </c>
      <c r="D94" s="112">
        <f>IF(B94=0,"   ",C94/B94*100)</f>
        <v>0</v>
      </c>
      <c r="E94" s="113">
        <f>C94-B94</f>
        <v>-151400</v>
      </c>
    </row>
    <row r="95" spans="1:5" ht="15">
      <c r="A95" s="292" t="s">
        <v>281</v>
      </c>
      <c r="B95" s="114">
        <v>1529.29</v>
      </c>
      <c r="C95" s="115">
        <v>0</v>
      </c>
      <c r="D95" s="112">
        <f t="shared" si="0"/>
        <v>0</v>
      </c>
      <c r="E95" s="113">
        <f t="shared" si="1"/>
        <v>-1529.29</v>
      </c>
    </row>
    <row r="96" spans="1:5" ht="15" customHeight="1">
      <c r="A96" s="292" t="s">
        <v>282</v>
      </c>
      <c r="B96" s="114">
        <v>33300</v>
      </c>
      <c r="C96" s="115">
        <v>0</v>
      </c>
      <c r="D96" s="112">
        <f t="shared" si="0"/>
        <v>0</v>
      </c>
      <c r="E96" s="113">
        <f t="shared" si="1"/>
        <v>-33300</v>
      </c>
    </row>
    <row r="97" spans="1:5" ht="16.5" customHeight="1">
      <c r="A97" s="292" t="s">
        <v>283</v>
      </c>
      <c r="B97" s="114">
        <v>32710.71</v>
      </c>
      <c r="C97" s="115">
        <v>0</v>
      </c>
      <c r="D97" s="112">
        <f t="shared" si="0"/>
        <v>0</v>
      </c>
      <c r="E97" s="113">
        <f t="shared" si="1"/>
        <v>-32710.71</v>
      </c>
    </row>
    <row r="98" spans="1:5" ht="12.75">
      <c r="A98" s="105" t="s">
        <v>59</v>
      </c>
      <c r="B98" s="25">
        <v>6000</v>
      </c>
      <c r="C98" s="27">
        <v>0</v>
      </c>
      <c r="D98" s="26">
        <f t="shared" si="0"/>
        <v>0</v>
      </c>
      <c r="E98" s="27">
        <f t="shared" si="1"/>
        <v>-6000</v>
      </c>
    </row>
    <row r="99" spans="1:5" ht="13.5" thickBot="1">
      <c r="A99" s="16" t="s">
        <v>94</v>
      </c>
      <c r="B99" s="25">
        <v>0</v>
      </c>
      <c r="C99" s="27">
        <v>0</v>
      </c>
      <c r="D99" s="26" t="str">
        <f t="shared" si="0"/>
        <v>   </v>
      </c>
      <c r="E99" s="27">
        <f t="shared" si="1"/>
        <v>0</v>
      </c>
    </row>
    <row r="100" spans="1:5" ht="15" thickBot="1">
      <c r="A100" s="133" t="s">
        <v>17</v>
      </c>
      <c r="B100" s="196">
        <v>8000</v>
      </c>
      <c r="C100" s="196">
        <v>0</v>
      </c>
      <c r="D100" s="145">
        <f t="shared" si="0"/>
        <v>0</v>
      </c>
      <c r="E100" s="146">
        <f t="shared" si="1"/>
        <v>-8000</v>
      </c>
    </row>
    <row r="101" spans="1:5" ht="13.5" thickBot="1">
      <c r="A101" s="129" t="s">
        <v>41</v>
      </c>
      <c r="B101" s="184">
        <f>B102</f>
        <v>551800</v>
      </c>
      <c r="C101" s="184">
        <f>C102</f>
        <v>492443.26</v>
      </c>
      <c r="D101" s="131">
        <f t="shared" si="0"/>
        <v>89.24306995288148</v>
      </c>
      <c r="E101" s="132">
        <f t="shared" si="1"/>
        <v>-59356.73999999999</v>
      </c>
    </row>
    <row r="102" spans="1:5" ht="12.75">
      <c r="A102" s="117" t="s">
        <v>42</v>
      </c>
      <c r="B102" s="118">
        <f>SUM(B103+B104)</f>
        <v>551800</v>
      </c>
      <c r="C102" s="118">
        <f>SUM(C103+C104)</f>
        <v>492443.26</v>
      </c>
      <c r="D102" s="119">
        <f t="shared" si="0"/>
        <v>89.24306995288148</v>
      </c>
      <c r="E102" s="120">
        <f t="shared" si="1"/>
        <v>-59356.73999999999</v>
      </c>
    </row>
    <row r="103" spans="1:5" ht="12.75">
      <c r="A103" s="169" t="s">
        <v>143</v>
      </c>
      <c r="B103" s="122">
        <v>451800</v>
      </c>
      <c r="C103" s="123">
        <v>450515</v>
      </c>
      <c r="D103" s="124">
        <f t="shared" si="0"/>
        <v>99.71558211598052</v>
      </c>
      <c r="E103" s="125">
        <f t="shared" si="1"/>
        <v>-1285</v>
      </c>
    </row>
    <row r="104" spans="1:5" ht="21.75" customHeight="1" thickBot="1">
      <c r="A104" s="16" t="s">
        <v>268</v>
      </c>
      <c r="B104" s="25">
        <v>100000</v>
      </c>
      <c r="C104" s="27">
        <v>41928.26</v>
      </c>
      <c r="D104" s="26">
        <f t="shared" si="0"/>
        <v>41.92826</v>
      </c>
      <c r="E104" s="27">
        <f t="shared" si="1"/>
        <v>-58071.74</v>
      </c>
    </row>
    <row r="105" spans="1:5" ht="13.5" thickBot="1">
      <c r="A105" s="129" t="s">
        <v>124</v>
      </c>
      <c r="B105" s="185">
        <f>SUM(B106,)</f>
        <v>8000</v>
      </c>
      <c r="C105" s="185">
        <f>SUM(C106,)</f>
        <v>0</v>
      </c>
      <c r="D105" s="145">
        <f t="shared" si="0"/>
        <v>0</v>
      </c>
      <c r="E105" s="146">
        <f t="shared" si="1"/>
        <v>-8000</v>
      </c>
    </row>
    <row r="106" spans="1:5" ht="12.75">
      <c r="A106" s="127" t="s">
        <v>43</v>
      </c>
      <c r="B106" s="122">
        <v>8000</v>
      </c>
      <c r="C106" s="128">
        <v>0</v>
      </c>
      <c r="D106" s="124">
        <f t="shared" si="0"/>
        <v>0</v>
      </c>
      <c r="E106" s="125">
        <f t="shared" si="1"/>
        <v>-8000</v>
      </c>
    </row>
    <row r="107" spans="1:5" ht="27" customHeight="1">
      <c r="A107" s="173" t="s">
        <v>15</v>
      </c>
      <c r="B107" s="150">
        <f>SUM(B51,B58,B60,B62,B79,B100,B101,B105,)</f>
        <v>4603807.33</v>
      </c>
      <c r="C107" s="150">
        <f>SUM(C51,C58,C60,C62,C79,C100,C101,C105,)</f>
        <v>1367403.94</v>
      </c>
      <c r="D107" s="141">
        <f>IF(B107=0,"   ",C107/B107*100)</f>
        <v>29.70158918444573</v>
      </c>
      <c r="E107" s="142">
        <f>C107-B107</f>
        <v>-3236403.39</v>
      </c>
    </row>
    <row r="108" spans="1:5" s="59" customFormat="1" ht="23.25" customHeight="1">
      <c r="A108" s="80" t="s">
        <v>225</v>
      </c>
      <c r="B108" s="80"/>
      <c r="C108" s="306"/>
      <c r="D108" s="306"/>
      <c r="E108" s="306"/>
    </row>
    <row r="109" spans="1:5" s="59" customFormat="1" ht="12" customHeight="1">
      <c r="A109" s="80" t="s">
        <v>154</v>
      </c>
      <c r="B109" s="80"/>
      <c r="C109" s="81" t="s">
        <v>251</v>
      </c>
      <c r="D109" s="82"/>
      <c r="E109" s="83"/>
    </row>
    <row r="110" spans="1:5" ht="12.75">
      <c r="A110" s="7"/>
      <c r="B110" s="7"/>
      <c r="C110" s="6"/>
      <c r="D110" s="7"/>
      <c r="E110" s="2"/>
    </row>
    <row r="111" spans="1:5" ht="12.75">
      <c r="A111" s="7"/>
      <c r="B111" s="7"/>
      <c r="C111" s="6"/>
      <c r="D111" s="7"/>
      <c r="E111" s="2"/>
    </row>
    <row r="112" spans="1:5" ht="12.75">
      <c r="A112" s="7"/>
      <c r="B112" s="7"/>
      <c r="C112" s="6"/>
      <c r="D112" s="7"/>
      <c r="E112" s="2"/>
    </row>
    <row r="113" spans="1:5" ht="12.75">
      <c r="A113" s="7"/>
      <c r="B113" s="7"/>
      <c r="C113" s="6"/>
      <c r="D113" s="7"/>
      <c r="E113" s="2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  <row r="123" spans="1:5" ht="12.75">
      <c r="A123" s="4"/>
      <c r="B123" s="4"/>
      <c r="C123" s="4"/>
      <c r="D123" s="4"/>
      <c r="E123" s="4"/>
    </row>
    <row r="124" spans="1:5" ht="12.75">
      <c r="A124" s="4"/>
      <c r="B124" s="4"/>
      <c r="C124" s="4"/>
      <c r="D124" s="4"/>
      <c r="E124" s="4"/>
    </row>
    <row r="125" spans="1:5" ht="12.75">
      <c r="A125" s="4"/>
      <c r="B125" s="4"/>
      <c r="C125" s="4"/>
      <c r="D125" s="4"/>
      <c r="E125" s="4"/>
    </row>
    <row r="126" spans="1:5" ht="12.75">
      <c r="A126" s="4"/>
      <c r="B126" s="4"/>
      <c r="C126" s="4"/>
      <c r="D126" s="4"/>
      <c r="E126" s="4"/>
    </row>
    <row r="127" spans="1:5" ht="12.75">
      <c r="A127" s="4"/>
      <c r="B127" s="4"/>
      <c r="C127" s="4"/>
      <c r="D127" s="4"/>
      <c r="E127" s="4"/>
    </row>
    <row r="128" spans="1:5" ht="12.75">
      <c r="A128" s="4"/>
      <c r="B128" s="4"/>
      <c r="C128" s="4"/>
      <c r="D128" s="4"/>
      <c r="E128" s="4"/>
    </row>
    <row r="129" spans="1:5" ht="12.75">
      <c r="A129" s="4"/>
      <c r="B129" s="4"/>
      <c r="C129" s="4"/>
      <c r="D129" s="4"/>
      <c r="E129" s="4"/>
    </row>
    <row r="130" spans="1:5" ht="12.75">
      <c r="A130" s="4"/>
      <c r="B130" s="4"/>
      <c r="C130" s="4"/>
      <c r="D130" s="4"/>
      <c r="E130" s="4"/>
    </row>
    <row r="131" spans="1:5" ht="12.75">
      <c r="A131" s="4"/>
      <c r="B131" s="4"/>
      <c r="C131" s="4"/>
      <c r="D131" s="4"/>
      <c r="E131" s="4"/>
    </row>
    <row r="132" spans="1:5" ht="12.75">
      <c r="A132" s="4"/>
      <c r="B132" s="4"/>
      <c r="C132" s="4"/>
      <c r="D132" s="4"/>
      <c r="E132" s="4"/>
    </row>
  </sheetData>
  <sheetProtection/>
  <mergeCells count="2">
    <mergeCell ref="A1:E1"/>
    <mergeCell ref="C108:E108"/>
  </mergeCells>
  <printOptions/>
  <pageMargins left="1.1811023622047245" right="0.7874015748031497" top="0.4724409448818898" bottom="0.5118110236220472" header="0.5118110236220472" footer="0.5118110236220472"/>
  <pageSetup fitToHeight="2" fitToWidth="2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3"/>
  <sheetViews>
    <sheetView zoomScaleSheetLayoutView="100" zoomScalePageLayoutView="0" workbookViewId="0" topLeftCell="A73">
      <selection activeCell="C35" sqref="C35"/>
    </sheetView>
  </sheetViews>
  <sheetFormatPr defaultColWidth="9.00390625" defaultRowHeight="12.75"/>
  <cols>
    <col min="1" max="1" width="105.125" style="0" customWidth="1"/>
    <col min="2" max="2" width="15.375" style="0" customWidth="1"/>
    <col min="3" max="3" width="19.50390625" style="0" customWidth="1"/>
    <col min="4" max="4" width="14.50390625" style="0" customWidth="1"/>
    <col min="5" max="5" width="19.375" style="0" customWidth="1"/>
  </cols>
  <sheetData>
    <row r="1" spans="1:5" ht="17.25">
      <c r="A1" s="308" t="s">
        <v>301</v>
      </c>
      <c r="B1" s="308"/>
      <c r="C1" s="308"/>
      <c r="D1" s="308"/>
      <c r="E1" s="308"/>
    </row>
    <row r="2" spans="1:5" ht="13.5" thickBot="1">
      <c r="A2" s="4"/>
      <c r="B2" s="4"/>
      <c r="C2" s="5"/>
      <c r="D2" s="4"/>
      <c r="E2" s="4" t="s">
        <v>0</v>
      </c>
    </row>
    <row r="3" spans="1:5" ht="76.5" customHeight="1">
      <c r="A3" s="34" t="s">
        <v>1</v>
      </c>
      <c r="B3" s="19" t="s">
        <v>256</v>
      </c>
      <c r="C3" s="32" t="s">
        <v>298</v>
      </c>
      <c r="D3" s="19" t="s">
        <v>257</v>
      </c>
      <c r="E3" s="36" t="s">
        <v>261</v>
      </c>
    </row>
    <row r="4" spans="1:5" ht="12.75">
      <c r="A4" s="13">
        <v>1</v>
      </c>
      <c r="B4" s="74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" customHeight="1">
      <c r="A6" s="17" t="s">
        <v>45</v>
      </c>
      <c r="B6" s="24">
        <f>SUM(B7)</f>
        <v>77000</v>
      </c>
      <c r="C6" s="149">
        <f>SUM(C7)</f>
        <v>28572.95</v>
      </c>
      <c r="D6" s="26">
        <f aca="true" t="shared" si="0" ref="D6:D91">IF(B6=0,"   ",C6/B6*100)</f>
        <v>37.107727272727274</v>
      </c>
      <c r="E6" s="42">
        <f aca="true" t="shared" si="1" ref="E6:E92">C6-B6</f>
        <v>-48427.05</v>
      </c>
    </row>
    <row r="7" spans="1:5" ht="15" customHeight="1">
      <c r="A7" s="16" t="s">
        <v>44</v>
      </c>
      <c r="B7" s="25">
        <v>77000</v>
      </c>
      <c r="C7" s="240">
        <v>28572.95</v>
      </c>
      <c r="D7" s="26">
        <f t="shared" si="0"/>
        <v>37.107727272727274</v>
      </c>
      <c r="E7" s="42">
        <f t="shared" si="1"/>
        <v>-48427.05</v>
      </c>
    </row>
    <row r="8" spans="1:5" ht="15.75" customHeight="1">
      <c r="A8" s="64" t="s">
        <v>137</v>
      </c>
      <c r="B8" s="24">
        <f>SUM(B9)</f>
        <v>391400</v>
      </c>
      <c r="C8" s="200">
        <f>SUM(C9)</f>
        <v>169251.93</v>
      </c>
      <c r="D8" s="26">
        <f t="shared" si="0"/>
        <v>43.24270056208482</v>
      </c>
      <c r="E8" s="42">
        <f t="shared" si="1"/>
        <v>-222148.07</v>
      </c>
    </row>
    <row r="9" spans="1:5" ht="15" customHeight="1">
      <c r="A9" s="41" t="s">
        <v>138</v>
      </c>
      <c r="B9" s="25">
        <v>391400</v>
      </c>
      <c r="C9" s="240">
        <v>169251.93</v>
      </c>
      <c r="D9" s="26">
        <f t="shared" si="0"/>
        <v>43.24270056208482</v>
      </c>
      <c r="E9" s="42">
        <f t="shared" si="1"/>
        <v>-222148.07</v>
      </c>
    </row>
    <row r="10" spans="1:5" ht="16.5" customHeight="1">
      <c r="A10" s="16" t="s">
        <v>7</v>
      </c>
      <c r="B10" s="25">
        <f>B11</f>
        <v>25800</v>
      </c>
      <c r="C10" s="201">
        <f>C11</f>
        <v>13290</v>
      </c>
      <c r="D10" s="26">
        <f t="shared" si="0"/>
        <v>51.51162790697674</v>
      </c>
      <c r="E10" s="42">
        <f t="shared" si="1"/>
        <v>-12510</v>
      </c>
    </row>
    <row r="11" spans="1:5" ht="15" customHeight="1">
      <c r="A11" s="16" t="s">
        <v>26</v>
      </c>
      <c r="B11" s="25">
        <v>25800</v>
      </c>
      <c r="C11" s="240">
        <v>13290</v>
      </c>
      <c r="D11" s="26">
        <f t="shared" si="0"/>
        <v>51.51162790697674</v>
      </c>
      <c r="E11" s="42">
        <f t="shared" si="1"/>
        <v>-12510</v>
      </c>
    </row>
    <row r="12" spans="1:5" ht="15" customHeight="1">
      <c r="A12" s="16" t="s">
        <v>9</v>
      </c>
      <c r="B12" s="25">
        <f>SUM(B13:B14)</f>
        <v>227000</v>
      </c>
      <c r="C12" s="201">
        <f>SUM(C13:C14)</f>
        <v>16986.46</v>
      </c>
      <c r="D12" s="26">
        <f t="shared" si="0"/>
        <v>7.483022026431718</v>
      </c>
      <c r="E12" s="42">
        <f t="shared" si="1"/>
        <v>-210013.54</v>
      </c>
    </row>
    <row r="13" spans="1:5" ht="12.75" customHeight="1">
      <c r="A13" s="16" t="s">
        <v>27</v>
      </c>
      <c r="B13" s="25">
        <v>70000</v>
      </c>
      <c r="C13" s="240">
        <v>4234.24</v>
      </c>
      <c r="D13" s="26">
        <f t="shared" si="0"/>
        <v>6.048914285714285</v>
      </c>
      <c r="E13" s="42">
        <f t="shared" si="1"/>
        <v>-65765.76</v>
      </c>
    </row>
    <row r="14" spans="1:5" ht="15" customHeight="1">
      <c r="A14" s="41" t="s">
        <v>161</v>
      </c>
      <c r="B14" s="31">
        <f>SUM(B15:B16)</f>
        <v>157000</v>
      </c>
      <c r="C14" s="201">
        <f>SUM(C15:C16)</f>
        <v>12752.22</v>
      </c>
      <c r="D14" s="26">
        <f t="shared" si="0"/>
        <v>8.122433121019109</v>
      </c>
      <c r="E14" s="42">
        <f t="shared" si="1"/>
        <v>-144247.78</v>
      </c>
    </row>
    <row r="15" spans="1:5" ht="15" customHeight="1">
      <c r="A15" s="41" t="s">
        <v>162</v>
      </c>
      <c r="B15" s="31">
        <v>1000</v>
      </c>
      <c r="C15" s="240">
        <v>1570</v>
      </c>
      <c r="D15" s="26">
        <f t="shared" si="0"/>
        <v>157</v>
      </c>
      <c r="E15" s="42">
        <f t="shared" si="1"/>
        <v>570</v>
      </c>
    </row>
    <row r="16" spans="1:5" ht="15" customHeight="1">
      <c r="A16" s="41" t="s">
        <v>163</v>
      </c>
      <c r="B16" s="31">
        <v>156000</v>
      </c>
      <c r="C16" s="240">
        <v>11182.22</v>
      </c>
      <c r="D16" s="26">
        <f t="shared" si="0"/>
        <v>7.168089743589744</v>
      </c>
      <c r="E16" s="42">
        <f t="shared" si="1"/>
        <v>-144817.78</v>
      </c>
    </row>
    <row r="17" spans="1:5" ht="15" customHeight="1">
      <c r="A17" s="41" t="s">
        <v>197</v>
      </c>
      <c r="B17" s="31">
        <v>0</v>
      </c>
      <c r="C17" s="202">
        <v>0</v>
      </c>
      <c r="D17" s="26" t="str">
        <f t="shared" si="0"/>
        <v>   </v>
      </c>
      <c r="E17" s="42">
        <f t="shared" si="1"/>
        <v>0</v>
      </c>
    </row>
    <row r="18" spans="1:5" ht="27.75" customHeight="1">
      <c r="A18" s="16" t="s">
        <v>88</v>
      </c>
      <c r="B18" s="25">
        <v>0</v>
      </c>
      <c r="C18" s="201">
        <v>0</v>
      </c>
      <c r="D18" s="26" t="str">
        <f t="shared" si="0"/>
        <v>   </v>
      </c>
      <c r="E18" s="42">
        <f t="shared" si="1"/>
        <v>0</v>
      </c>
    </row>
    <row r="19" spans="1:5" ht="27.75" customHeight="1">
      <c r="A19" s="16" t="s">
        <v>28</v>
      </c>
      <c r="B19" s="25">
        <f>SUM(B20:B21)</f>
        <v>130200</v>
      </c>
      <c r="C19" s="201">
        <f>SUM(C20:C21)</f>
        <v>21880.079999999998</v>
      </c>
      <c r="D19" s="26">
        <f t="shared" si="0"/>
        <v>16.804976958525344</v>
      </c>
      <c r="E19" s="42">
        <f t="shared" si="1"/>
        <v>-108319.92</v>
      </c>
    </row>
    <row r="20" spans="1:5" ht="12.75" customHeight="1">
      <c r="A20" s="41" t="s">
        <v>152</v>
      </c>
      <c r="B20" s="25">
        <v>96200</v>
      </c>
      <c r="C20" s="240">
        <v>4954.14</v>
      </c>
      <c r="D20" s="26">
        <f t="shared" si="0"/>
        <v>5.14983367983368</v>
      </c>
      <c r="E20" s="42">
        <f t="shared" si="1"/>
        <v>-91245.86</v>
      </c>
    </row>
    <row r="21" spans="1:5" ht="15.75" customHeight="1">
      <c r="A21" s="16" t="s">
        <v>30</v>
      </c>
      <c r="B21" s="25">
        <v>34000</v>
      </c>
      <c r="C21" s="240">
        <v>16925.94</v>
      </c>
      <c r="D21" s="26">
        <f t="shared" si="0"/>
        <v>49.78217647058823</v>
      </c>
      <c r="E21" s="42">
        <f t="shared" si="1"/>
        <v>-17074.06</v>
      </c>
    </row>
    <row r="22" spans="1:5" ht="15.75" customHeight="1">
      <c r="A22" s="39" t="s">
        <v>91</v>
      </c>
      <c r="B22" s="25">
        <v>0</v>
      </c>
      <c r="C22" s="202">
        <v>0</v>
      </c>
      <c r="D22" s="26" t="str">
        <f t="shared" si="0"/>
        <v>   </v>
      </c>
      <c r="E22" s="42">
        <f t="shared" si="1"/>
        <v>0</v>
      </c>
    </row>
    <row r="23" spans="1:5" ht="15.75" customHeight="1">
      <c r="A23" s="16" t="s">
        <v>78</v>
      </c>
      <c r="B23" s="24">
        <f>B24+B25</f>
        <v>0</v>
      </c>
      <c r="C23" s="200">
        <f>C24+C25</f>
        <v>0</v>
      </c>
      <c r="D23" s="26" t="str">
        <f t="shared" si="0"/>
        <v>   </v>
      </c>
      <c r="E23" s="42">
        <f t="shared" si="1"/>
        <v>0</v>
      </c>
    </row>
    <row r="24" spans="1:5" ht="27.75" customHeight="1">
      <c r="A24" s="16" t="s">
        <v>231</v>
      </c>
      <c r="B24" s="25">
        <v>0</v>
      </c>
      <c r="C24" s="243">
        <v>0</v>
      </c>
      <c r="D24" s="26" t="str">
        <f t="shared" si="0"/>
        <v>   </v>
      </c>
      <c r="E24" s="42">
        <f t="shared" si="1"/>
        <v>0</v>
      </c>
    </row>
    <row r="25" spans="1:5" ht="15" customHeight="1">
      <c r="A25" s="41" t="s">
        <v>134</v>
      </c>
      <c r="B25" s="25">
        <v>0</v>
      </c>
      <c r="C25" s="240">
        <v>0</v>
      </c>
      <c r="D25" s="26" t="str">
        <f t="shared" si="0"/>
        <v>   </v>
      </c>
      <c r="E25" s="42">
        <f t="shared" si="1"/>
        <v>0</v>
      </c>
    </row>
    <row r="26" spans="1:5" ht="13.5" customHeight="1">
      <c r="A26" s="16" t="s">
        <v>32</v>
      </c>
      <c r="B26" s="25">
        <f>SUM(B27:B28)</f>
        <v>0</v>
      </c>
      <c r="C26" s="201">
        <f>SUM(C27:C28)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16" t="s">
        <v>46</v>
      </c>
      <c r="B27" s="25">
        <v>0</v>
      </c>
      <c r="C27" s="201">
        <v>0</v>
      </c>
      <c r="D27" s="26"/>
      <c r="E27" s="42">
        <f t="shared" si="1"/>
        <v>0</v>
      </c>
    </row>
    <row r="28" spans="1:5" ht="15" customHeight="1">
      <c r="A28" s="16" t="s">
        <v>50</v>
      </c>
      <c r="B28" s="25">
        <v>0</v>
      </c>
      <c r="C28" s="202">
        <v>0</v>
      </c>
      <c r="D28" s="26" t="str">
        <f t="shared" si="0"/>
        <v>   </v>
      </c>
      <c r="E28" s="42">
        <f t="shared" si="1"/>
        <v>0</v>
      </c>
    </row>
    <row r="29" spans="1:5" ht="13.5" customHeight="1">
      <c r="A29" s="16" t="s">
        <v>31</v>
      </c>
      <c r="B29" s="25">
        <v>0</v>
      </c>
      <c r="C29" s="201">
        <v>0</v>
      </c>
      <c r="D29" s="26" t="str">
        <f t="shared" si="0"/>
        <v>   </v>
      </c>
      <c r="E29" s="42">
        <f t="shared" si="1"/>
        <v>0</v>
      </c>
    </row>
    <row r="30" spans="1:5" ht="22.5" customHeight="1">
      <c r="A30" s="173" t="s">
        <v>10</v>
      </c>
      <c r="B30" s="43">
        <f>SUM(B6,B8,B10,B12,B18,B19,B22,B23,B29,B26,B17)</f>
        <v>851400</v>
      </c>
      <c r="C30" s="150">
        <f>SUM(C6,C8,C10,C12,C18,C19,C22,C23,C29,C26,C17)</f>
        <v>249981.41999999998</v>
      </c>
      <c r="D30" s="141">
        <f t="shared" si="0"/>
        <v>29.36121916842847</v>
      </c>
      <c r="E30" s="142">
        <f t="shared" si="1"/>
        <v>-601418.5800000001</v>
      </c>
    </row>
    <row r="31" spans="1:5" ht="16.5" customHeight="1">
      <c r="A31" s="181" t="s">
        <v>140</v>
      </c>
      <c r="B31" s="189">
        <f>SUM(B32:B35,B38:B41,B44)</f>
        <v>1879800</v>
      </c>
      <c r="C31" s="189">
        <f>SUM(C32:C35,C38:C41,C44)</f>
        <v>786667</v>
      </c>
      <c r="D31" s="141">
        <f t="shared" si="0"/>
        <v>41.84844132354506</v>
      </c>
      <c r="E31" s="142">
        <f t="shared" si="1"/>
        <v>-1093133</v>
      </c>
    </row>
    <row r="32" spans="1:5" ht="20.25" customHeight="1">
      <c r="A32" s="17" t="s">
        <v>34</v>
      </c>
      <c r="B32" s="24">
        <v>1218400</v>
      </c>
      <c r="C32" s="244">
        <v>609240</v>
      </c>
      <c r="D32" s="26">
        <f t="shared" si="0"/>
        <v>50.00328299409061</v>
      </c>
      <c r="E32" s="42">
        <f t="shared" si="1"/>
        <v>-609160</v>
      </c>
    </row>
    <row r="33" spans="1:5" ht="20.25" customHeight="1">
      <c r="A33" s="17" t="s">
        <v>232</v>
      </c>
      <c r="B33" s="24">
        <v>0</v>
      </c>
      <c r="C33" s="244">
        <v>0</v>
      </c>
      <c r="D33" s="26"/>
      <c r="E33" s="42"/>
    </row>
    <row r="34" spans="1:5" ht="26.25" customHeight="1">
      <c r="A34" s="134" t="s">
        <v>51</v>
      </c>
      <c r="B34" s="135">
        <v>90300</v>
      </c>
      <c r="C34" s="244">
        <v>46000</v>
      </c>
      <c r="D34" s="136">
        <f t="shared" si="0"/>
        <v>50.94130675526024</v>
      </c>
      <c r="E34" s="137">
        <f t="shared" si="1"/>
        <v>-44300</v>
      </c>
    </row>
    <row r="35" spans="1:5" ht="26.25" customHeight="1">
      <c r="A35" s="109" t="s">
        <v>148</v>
      </c>
      <c r="B35" s="135">
        <f>SUM(B36:B37)</f>
        <v>100</v>
      </c>
      <c r="C35" s="135">
        <f>SUM(C36:C37)</f>
        <v>100</v>
      </c>
      <c r="D35" s="136">
        <f t="shared" si="0"/>
        <v>100</v>
      </c>
      <c r="E35" s="137">
        <f t="shared" si="1"/>
        <v>0</v>
      </c>
    </row>
    <row r="36" spans="1:5" ht="17.25" customHeight="1">
      <c r="A36" s="109" t="s">
        <v>164</v>
      </c>
      <c r="B36" s="135">
        <v>100</v>
      </c>
      <c r="C36" s="135">
        <v>100</v>
      </c>
      <c r="D36" s="136">
        <f>IF(B36=0,"   ",C36/B36*100)</f>
        <v>100</v>
      </c>
      <c r="E36" s="137">
        <f>C36-B36</f>
        <v>0</v>
      </c>
    </row>
    <row r="37" spans="1:5" ht="26.25" customHeight="1">
      <c r="A37" s="109" t="s">
        <v>165</v>
      </c>
      <c r="B37" s="135">
        <v>0</v>
      </c>
      <c r="C37" s="135">
        <v>0</v>
      </c>
      <c r="D37" s="136" t="str">
        <f>IF(B37=0,"   ",C37/B37*100)</f>
        <v>   </v>
      </c>
      <c r="E37" s="137">
        <f>C37-B37</f>
        <v>0</v>
      </c>
    </row>
    <row r="38" spans="1:5" ht="44.25" customHeight="1">
      <c r="A38" s="16" t="s">
        <v>103</v>
      </c>
      <c r="B38" s="25">
        <v>0</v>
      </c>
      <c r="C38" s="25">
        <v>0</v>
      </c>
      <c r="D38" s="26" t="str">
        <f t="shared" si="0"/>
        <v>   </v>
      </c>
      <c r="E38" s="42">
        <f t="shared" si="1"/>
        <v>0</v>
      </c>
    </row>
    <row r="39" spans="1:5" ht="18.75" customHeight="1">
      <c r="A39" s="16" t="s">
        <v>171</v>
      </c>
      <c r="B39" s="25">
        <v>0</v>
      </c>
      <c r="C39" s="25">
        <v>0</v>
      </c>
      <c r="D39" s="26" t="str">
        <f t="shared" si="0"/>
        <v>   </v>
      </c>
      <c r="E39" s="42">
        <f t="shared" si="1"/>
        <v>0</v>
      </c>
    </row>
    <row r="40" spans="1:5" ht="57" customHeight="1">
      <c r="A40" s="16" t="s">
        <v>241</v>
      </c>
      <c r="B40" s="25">
        <v>328400</v>
      </c>
      <c r="C40" s="25">
        <v>0</v>
      </c>
      <c r="D40" s="26">
        <f t="shared" si="0"/>
        <v>0</v>
      </c>
      <c r="E40" s="42">
        <f t="shared" si="1"/>
        <v>-328400</v>
      </c>
    </row>
    <row r="41" spans="1:5" ht="15" customHeight="1">
      <c r="A41" s="16" t="s">
        <v>55</v>
      </c>
      <c r="B41" s="25">
        <f>B43</f>
        <v>242600</v>
      </c>
      <c r="C41" s="25">
        <f>C43</f>
        <v>131327</v>
      </c>
      <c r="D41" s="26">
        <f t="shared" si="0"/>
        <v>54.13314097279473</v>
      </c>
      <c r="E41" s="42">
        <f t="shared" si="1"/>
        <v>-111273</v>
      </c>
    </row>
    <row r="42" spans="1:5" ht="15" customHeight="1">
      <c r="A42" s="46" t="s">
        <v>189</v>
      </c>
      <c r="B42" s="25"/>
      <c r="C42" s="25"/>
      <c r="D42" s="26"/>
      <c r="E42" s="42"/>
    </row>
    <row r="43" spans="1:5" s="7" customFormat="1" ht="18" customHeight="1">
      <c r="A43" s="46" t="s">
        <v>109</v>
      </c>
      <c r="B43" s="47">
        <v>242600</v>
      </c>
      <c r="C43" s="27">
        <v>131327</v>
      </c>
      <c r="D43" s="47">
        <f t="shared" si="0"/>
        <v>54.13314097279473</v>
      </c>
      <c r="E43" s="40">
        <f t="shared" si="1"/>
        <v>-111273</v>
      </c>
    </row>
    <row r="44" spans="1:5" s="7" customFormat="1" ht="18" customHeight="1">
      <c r="A44" s="16" t="s">
        <v>200</v>
      </c>
      <c r="B44" s="47">
        <v>0</v>
      </c>
      <c r="C44" s="27">
        <v>0</v>
      </c>
      <c r="D44" s="47" t="str">
        <f t="shared" si="0"/>
        <v>   </v>
      </c>
      <c r="E44" s="40">
        <f t="shared" si="1"/>
        <v>0</v>
      </c>
    </row>
    <row r="45" spans="1:5" ht="18.75" customHeight="1">
      <c r="A45" s="173" t="s">
        <v>11</v>
      </c>
      <c r="B45" s="150">
        <f>SUM(B30:B31,)</f>
        <v>2731200</v>
      </c>
      <c r="C45" s="150">
        <f>SUM(C30:C31,)</f>
        <v>1036648.4199999999</v>
      </c>
      <c r="D45" s="141">
        <f t="shared" si="0"/>
        <v>37.95578573520796</v>
      </c>
      <c r="E45" s="142">
        <f t="shared" si="1"/>
        <v>-1694551.58</v>
      </c>
    </row>
    <row r="46" spans="1:5" ht="15" customHeight="1" thickBot="1">
      <c r="A46" s="106" t="s">
        <v>12</v>
      </c>
      <c r="B46" s="107"/>
      <c r="C46" s="108"/>
      <c r="D46" s="112" t="str">
        <f t="shared" si="0"/>
        <v>   </v>
      </c>
      <c r="E46" s="113">
        <f t="shared" si="1"/>
        <v>0</v>
      </c>
    </row>
    <row r="47" spans="1:5" ht="27.75" customHeight="1" thickBot="1">
      <c r="A47" s="129" t="s">
        <v>35</v>
      </c>
      <c r="B47" s="130">
        <f>SUM(B48,B51:B52)</f>
        <v>1218000</v>
      </c>
      <c r="C47" s="130">
        <f>SUM(C48,C51:C52)</f>
        <v>599491.49</v>
      </c>
      <c r="D47" s="131">
        <f t="shared" si="0"/>
        <v>49.219334154351394</v>
      </c>
      <c r="E47" s="132">
        <f t="shared" si="1"/>
        <v>-618508.51</v>
      </c>
    </row>
    <row r="48" spans="1:5" ht="15.75" customHeight="1">
      <c r="A48" s="117" t="s">
        <v>36</v>
      </c>
      <c r="B48" s="118">
        <v>1193500</v>
      </c>
      <c r="C48" s="118">
        <v>596991.49</v>
      </c>
      <c r="D48" s="119">
        <f t="shared" si="0"/>
        <v>50.020233766233765</v>
      </c>
      <c r="E48" s="120">
        <f t="shared" si="1"/>
        <v>-596508.51</v>
      </c>
    </row>
    <row r="49" spans="1:5" ht="14.25" customHeight="1">
      <c r="A49" s="85" t="s">
        <v>120</v>
      </c>
      <c r="B49" s="25">
        <v>758679</v>
      </c>
      <c r="C49" s="28">
        <v>391345.61</v>
      </c>
      <c r="D49" s="26">
        <f t="shared" si="0"/>
        <v>51.58250195405435</v>
      </c>
      <c r="E49" s="42">
        <f t="shared" si="1"/>
        <v>-367333.39</v>
      </c>
    </row>
    <row r="50" spans="1:5" ht="14.25" customHeight="1">
      <c r="A50" s="85" t="s">
        <v>293</v>
      </c>
      <c r="B50" s="25">
        <v>100</v>
      </c>
      <c r="C50" s="28">
        <v>100</v>
      </c>
      <c r="D50" s="26">
        <f>IF(B50=0,"   ",C50/B50*100)</f>
        <v>100</v>
      </c>
      <c r="E50" s="42">
        <f>C50-B50</f>
        <v>0</v>
      </c>
    </row>
    <row r="51" spans="1:5" ht="12.75" customHeight="1">
      <c r="A51" s="16" t="s">
        <v>95</v>
      </c>
      <c r="B51" s="25">
        <v>500</v>
      </c>
      <c r="C51" s="27">
        <v>0</v>
      </c>
      <c r="D51" s="26">
        <f t="shared" si="0"/>
        <v>0</v>
      </c>
      <c r="E51" s="42">
        <f t="shared" si="1"/>
        <v>-500</v>
      </c>
    </row>
    <row r="52" spans="1:5" ht="12.75" customHeight="1">
      <c r="A52" s="16" t="s">
        <v>52</v>
      </c>
      <c r="B52" s="25">
        <f>B54+B53</f>
        <v>24000</v>
      </c>
      <c r="C52" s="25">
        <f>C54+C53</f>
        <v>2500</v>
      </c>
      <c r="D52" s="26">
        <f t="shared" si="0"/>
        <v>10.416666666666668</v>
      </c>
      <c r="E52" s="42">
        <f t="shared" si="1"/>
        <v>-21500</v>
      </c>
    </row>
    <row r="53" spans="1:5" ht="30.75" customHeight="1">
      <c r="A53" s="105" t="s">
        <v>247</v>
      </c>
      <c r="B53" s="25">
        <v>24000</v>
      </c>
      <c r="C53" s="27">
        <v>2500</v>
      </c>
      <c r="D53" s="26">
        <f t="shared" si="0"/>
        <v>10.416666666666668</v>
      </c>
      <c r="E53" s="42">
        <f t="shared" si="1"/>
        <v>-21500</v>
      </c>
    </row>
    <row r="54" spans="1:5" ht="24" customHeight="1" thickBot="1">
      <c r="A54" s="105" t="s">
        <v>240</v>
      </c>
      <c r="B54" s="25">
        <v>0</v>
      </c>
      <c r="C54" s="27">
        <v>0</v>
      </c>
      <c r="D54" s="26" t="str">
        <f>IF(B54=0,"   ",C54/B54*100)</f>
        <v>   </v>
      </c>
      <c r="E54" s="42">
        <f>C54-B54</f>
        <v>0</v>
      </c>
    </row>
    <row r="55" spans="1:5" ht="14.25" customHeight="1" thickBot="1">
      <c r="A55" s="129" t="s">
        <v>49</v>
      </c>
      <c r="B55" s="250">
        <f>SUM(B56)</f>
        <v>90300</v>
      </c>
      <c r="C55" s="250">
        <f>SUM(C56)</f>
        <v>45458.2</v>
      </c>
      <c r="D55" s="131">
        <f t="shared" si="0"/>
        <v>50.34130675526024</v>
      </c>
      <c r="E55" s="132">
        <f t="shared" si="1"/>
        <v>-44841.8</v>
      </c>
    </row>
    <row r="56" spans="1:5" ht="22.5" customHeight="1" thickBot="1">
      <c r="A56" s="121" t="s">
        <v>107</v>
      </c>
      <c r="B56" s="122">
        <v>90300</v>
      </c>
      <c r="C56" s="123">
        <v>45458.2</v>
      </c>
      <c r="D56" s="131">
        <f t="shared" si="0"/>
        <v>50.34130675526024</v>
      </c>
      <c r="E56" s="125">
        <f t="shared" si="1"/>
        <v>-44841.8</v>
      </c>
    </row>
    <row r="57" spans="1:5" ht="17.25" customHeight="1" thickBot="1">
      <c r="A57" s="129" t="s">
        <v>37</v>
      </c>
      <c r="B57" s="130">
        <f>SUM(B58)</f>
        <v>400</v>
      </c>
      <c r="C57" s="130">
        <f>SUM(C58)</f>
        <v>400</v>
      </c>
      <c r="D57" s="131">
        <f t="shared" si="0"/>
        <v>100</v>
      </c>
      <c r="E57" s="132">
        <f t="shared" si="1"/>
        <v>0</v>
      </c>
    </row>
    <row r="58" spans="1:5" ht="15.75" customHeight="1">
      <c r="A58" s="75" t="s">
        <v>128</v>
      </c>
      <c r="B58" s="118">
        <v>400</v>
      </c>
      <c r="C58" s="126">
        <v>400</v>
      </c>
      <c r="D58" s="119">
        <f t="shared" si="0"/>
        <v>100</v>
      </c>
      <c r="E58" s="120">
        <f t="shared" si="1"/>
        <v>0</v>
      </c>
    </row>
    <row r="59" spans="1:5" ht="18.75" customHeight="1" thickBot="1">
      <c r="A59" s="147" t="s">
        <v>38</v>
      </c>
      <c r="B59" s="114">
        <f>B63+B60+B71</f>
        <v>1060727.97</v>
      </c>
      <c r="C59" s="114">
        <f>C63+C60+C71</f>
        <v>153918.9</v>
      </c>
      <c r="D59" s="112">
        <f t="shared" si="0"/>
        <v>14.5106855247722</v>
      </c>
      <c r="E59" s="113">
        <f t="shared" si="1"/>
        <v>-906809.07</v>
      </c>
    </row>
    <row r="60" spans="1:5" ht="18.75" customHeight="1" thickBot="1">
      <c r="A60" s="75" t="s">
        <v>166</v>
      </c>
      <c r="B60" s="99">
        <f>SUM(B61+B62)</f>
        <v>0</v>
      </c>
      <c r="C60" s="99">
        <f>SUM(C61+C62)</f>
        <v>0</v>
      </c>
      <c r="D60" s="112" t="str">
        <f>IF(B60=0,"   ",C60/B60*100)</f>
        <v>   </v>
      </c>
      <c r="E60" s="113">
        <f>C60-B60</f>
        <v>0</v>
      </c>
    </row>
    <row r="61" spans="1:5" ht="18.75" customHeight="1">
      <c r="A61" s="75" t="s">
        <v>167</v>
      </c>
      <c r="B61" s="122">
        <v>0</v>
      </c>
      <c r="C61" s="114">
        <v>0</v>
      </c>
      <c r="D61" s="112" t="str">
        <f>IF(B61=0,"   ",C61/B61*100)</f>
        <v>   </v>
      </c>
      <c r="E61" s="113">
        <f>C61-B61</f>
        <v>0</v>
      </c>
    </row>
    <row r="62" spans="1:5" ht="18.75" customHeight="1">
      <c r="A62" s="75" t="s">
        <v>190</v>
      </c>
      <c r="B62" s="122">
        <v>0</v>
      </c>
      <c r="C62" s="114">
        <v>0</v>
      </c>
      <c r="D62" s="112" t="str">
        <f>IF(B62=0,"   ",C62/B62*100)</f>
        <v>   </v>
      </c>
      <c r="E62" s="113">
        <f>C62-B62</f>
        <v>0</v>
      </c>
    </row>
    <row r="63" spans="1:5" ht="15" customHeight="1">
      <c r="A63" s="148" t="s">
        <v>131</v>
      </c>
      <c r="B63" s="25">
        <f>SUM(B64:B70)</f>
        <v>1015727.97</v>
      </c>
      <c r="C63" s="25">
        <f>SUM(C64:C70)</f>
        <v>145918.9</v>
      </c>
      <c r="D63" s="112">
        <f t="shared" si="0"/>
        <v>14.365942881340562</v>
      </c>
      <c r="E63" s="113">
        <f t="shared" si="1"/>
        <v>-869809.07</v>
      </c>
    </row>
    <row r="64" spans="1:5" ht="18.75" customHeight="1">
      <c r="A64" s="75" t="s">
        <v>149</v>
      </c>
      <c r="B64" s="25">
        <v>0</v>
      </c>
      <c r="C64" s="25">
        <v>0</v>
      </c>
      <c r="D64" s="112" t="str">
        <f t="shared" si="0"/>
        <v>   </v>
      </c>
      <c r="E64" s="113">
        <f t="shared" si="1"/>
        <v>0</v>
      </c>
    </row>
    <row r="65" spans="1:5" ht="30.75" customHeight="1">
      <c r="A65" s="71" t="s">
        <v>262</v>
      </c>
      <c r="B65" s="25">
        <v>348827.97</v>
      </c>
      <c r="C65" s="25">
        <v>0</v>
      </c>
      <c r="D65" s="112">
        <f>IF(B65=0,"   ",C65/B65*100)</f>
        <v>0</v>
      </c>
      <c r="E65" s="113">
        <f>C65-B65</f>
        <v>-348827.97</v>
      </c>
    </row>
    <row r="66" spans="1:5" ht="30" customHeight="1">
      <c r="A66" s="71" t="s">
        <v>263</v>
      </c>
      <c r="B66" s="25">
        <v>32400</v>
      </c>
      <c r="C66" s="25">
        <v>0</v>
      </c>
      <c r="D66" s="112">
        <f t="shared" si="0"/>
        <v>0</v>
      </c>
      <c r="E66" s="113">
        <f t="shared" si="1"/>
        <v>-32400</v>
      </c>
    </row>
    <row r="67" spans="1:5" ht="30" customHeight="1">
      <c r="A67" s="71" t="s">
        <v>264</v>
      </c>
      <c r="B67" s="25">
        <v>328400</v>
      </c>
      <c r="C67" s="25">
        <v>0</v>
      </c>
      <c r="D67" s="112">
        <f t="shared" si="0"/>
        <v>0</v>
      </c>
      <c r="E67" s="113">
        <f t="shared" si="1"/>
        <v>-328400</v>
      </c>
    </row>
    <row r="68" spans="1:5" ht="30" customHeight="1">
      <c r="A68" s="71" t="s">
        <v>265</v>
      </c>
      <c r="B68" s="25">
        <v>36500</v>
      </c>
      <c r="C68" s="25">
        <v>0</v>
      </c>
      <c r="D68" s="112">
        <f t="shared" si="0"/>
        <v>0</v>
      </c>
      <c r="E68" s="113">
        <f t="shared" si="1"/>
        <v>-36500</v>
      </c>
    </row>
    <row r="69" spans="1:5" ht="30" customHeight="1">
      <c r="A69" s="71" t="s">
        <v>266</v>
      </c>
      <c r="B69" s="25">
        <v>242600</v>
      </c>
      <c r="C69" s="25">
        <v>131327</v>
      </c>
      <c r="D69" s="112">
        <f t="shared" si="0"/>
        <v>54.13314097279473</v>
      </c>
      <c r="E69" s="113">
        <f t="shared" si="1"/>
        <v>-111273</v>
      </c>
    </row>
    <row r="70" spans="1:5" ht="30" customHeight="1" thickBot="1">
      <c r="A70" s="71" t="s">
        <v>267</v>
      </c>
      <c r="B70" s="25">
        <v>27000</v>
      </c>
      <c r="C70" s="25">
        <v>14591.9</v>
      </c>
      <c r="D70" s="112">
        <f t="shared" si="0"/>
        <v>54.044074074074075</v>
      </c>
      <c r="E70" s="113">
        <f t="shared" si="1"/>
        <v>-12408.1</v>
      </c>
    </row>
    <row r="71" spans="1:5" ht="18" customHeight="1" thickBot="1">
      <c r="A71" s="96" t="s">
        <v>178</v>
      </c>
      <c r="B71" s="99">
        <f>SUM(B72)</f>
        <v>45000</v>
      </c>
      <c r="C71" s="99">
        <f>SUM(C72)</f>
        <v>8000</v>
      </c>
      <c r="D71" s="112">
        <f>IF(B71=0,"   ",C71/B71*100)</f>
        <v>17.77777777777778</v>
      </c>
      <c r="E71" s="113">
        <f>C71-B71</f>
        <v>-37000</v>
      </c>
    </row>
    <row r="72" spans="1:5" ht="31.5" customHeight="1">
      <c r="A72" s="75" t="s">
        <v>179</v>
      </c>
      <c r="B72" s="122">
        <v>45000</v>
      </c>
      <c r="C72" s="122">
        <v>8000</v>
      </c>
      <c r="D72" s="112">
        <f>IF(B72=0,"   ",C72/B72*100)</f>
        <v>17.77777777777778</v>
      </c>
      <c r="E72" s="113">
        <f>C72-B72</f>
        <v>-37000</v>
      </c>
    </row>
    <row r="73" spans="1:5" ht="20.25" customHeight="1" thickBot="1">
      <c r="A73" s="144" t="s">
        <v>13</v>
      </c>
      <c r="B73" s="185">
        <f>SUM(B75,B74)</f>
        <v>235300</v>
      </c>
      <c r="C73" s="185">
        <f>SUM(C75,C74)</f>
        <v>36649.54</v>
      </c>
      <c r="D73" s="145">
        <f t="shared" si="0"/>
        <v>15.575665108372291</v>
      </c>
      <c r="E73" s="146">
        <f t="shared" si="1"/>
        <v>-198650.46</v>
      </c>
    </row>
    <row r="74" spans="1:5" ht="15" customHeight="1">
      <c r="A74" s="41" t="s">
        <v>150</v>
      </c>
      <c r="B74" s="25">
        <v>0</v>
      </c>
      <c r="C74" s="25">
        <v>0</v>
      </c>
      <c r="D74" s="124"/>
      <c r="E74" s="125"/>
    </row>
    <row r="75" spans="1:5" ht="15" customHeight="1">
      <c r="A75" s="16" t="s">
        <v>58</v>
      </c>
      <c r="B75" s="25">
        <f>B76+B77+B78+B79</f>
        <v>235300</v>
      </c>
      <c r="C75" s="25">
        <f>C76+C77+C78+C79</f>
        <v>36649.54</v>
      </c>
      <c r="D75" s="26">
        <f t="shared" si="0"/>
        <v>15.575665108372291</v>
      </c>
      <c r="E75" s="42">
        <f t="shared" si="1"/>
        <v>-198650.46</v>
      </c>
    </row>
    <row r="76" spans="1:5" ht="15" customHeight="1">
      <c r="A76" s="16" t="s">
        <v>60</v>
      </c>
      <c r="B76" s="25">
        <v>185300</v>
      </c>
      <c r="C76" s="27">
        <v>36649.54</v>
      </c>
      <c r="D76" s="26">
        <f t="shared" si="0"/>
        <v>19.778488936859148</v>
      </c>
      <c r="E76" s="42">
        <f t="shared" si="1"/>
        <v>-148650.46</v>
      </c>
    </row>
    <row r="77" spans="1:5" ht="15" customHeight="1">
      <c r="A77" s="105" t="s">
        <v>59</v>
      </c>
      <c r="B77" s="114">
        <v>50000</v>
      </c>
      <c r="C77" s="115">
        <v>0</v>
      </c>
      <c r="D77" s="112">
        <f t="shared" si="0"/>
        <v>0</v>
      </c>
      <c r="E77" s="113">
        <f t="shared" si="1"/>
        <v>-50000</v>
      </c>
    </row>
    <row r="78" spans="1:5" ht="29.25" customHeight="1">
      <c r="A78" s="105" t="s">
        <v>168</v>
      </c>
      <c r="B78" s="25">
        <v>0</v>
      </c>
      <c r="C78" s="27">
        <v>0</v>
      </c>
      <c r="D78" s="26" t="str">
        <f t="shared" si="0"/>
        <v>   </v>
      </c>
      <c r="E78" s="27">
        <f t="shared" si="1"/>
        <v>0</v>
      </c>
    </row>
    <row r="79" spans="1:5" ht="21.75" customHeight="1">
      <c r="A79" s="105" t="s">
        <v>207</v>
      </c>
      <c r="B79" s="25">
        <f>SUM(B80+B81+B82)</f>
        <v>0</v>
      </c>
      <c r="C79" s="25">
        <f>SUM(C80+C81+C82)</f>
        <v>0</v>
      </c>
      <c r="D79" s="26" t="str">
        <f>IF(B79=0,"   ",C79/B79*100)</f>
        <v>   </v>
      </c>
      <c r="E79" s="27">
        <f>C79-B79</f>
        <v>0</v>
      </c>
    </row>
    <row r="80" spans="1:5" ht="29.25" customHeight="1">
      <c r="A80" s="105" t="s">
        <v>188</v>
      </c>
      <c r="B80" s="25">
        <v>0</v>
      </c>
      <c r="C80" s="27">
        <v>0</v>
      </c>
      <c r="D80" s="26" t="str">
        <f>IF(B80=0,"   ",C80/B80*100)</f>
        <v>   </v>
      </c>
      <c r="E80" s="27">
        <f>C80-B80</f>
        <v>0</v>
      </c>
    </row>
    <row r="81" spans="1:5" ht="29.25" customHeight="1">
      <c r="A81" s="105" t="s">
        <v>191</v>
      </c>
      <c r="B81" s="25">
        <v>0</v>
      </c>
      <c r="C81" s="27">
        <v>0</v>
      </c>
      <c r="D81" s="26" t="str">
        <f>IF(B81=0,"   ",C81/B81*100)</f>
        <v>   </v>
      </c>
      <c r="E81" s="27">
        <f>C81-B81</f>
        <v>0</v>
      </c>
    </row>
    <row r="82" spans="1:5" ht="29.25" customHeight="1">
      <c r="A82" s="105" t="s">
        <v>192</v>
      </c>
      <c r="B82" s="25">
        <v>0</v>
      </c>
      <c r="C82" s="27">
        <v>0</v>
      </c>
      <c r="D82" s="26" t="str">
        <f>IF(B82=0,"   ",C82/B82*100)</f>
        <v>   </v>
      </c>
      <c r="E82" s="27">
        <f>C82-B82</f>
        <v>0</v>
      </c>
    </row>
    <row r="83" spans="1:5" ht="16.5" customHeight="1" thickBot="1">
      <c r="A83" s="16" t="s">
        <v>94</v>
      </c>
      <c r="B83" s="25">
        <v>0</v>
      </c>
      <c r="C83" s="27">
        <v>0</v>
      </c>
      <c r="D83" s="26" t="str">
        <f t="shared" si="0"/>
        <v>   </v>
      </c>
      <c r="E83" s="27">
        <f t="shared" si="1"/>
        <v>0</v>
      </c>
    </row>
    <row r="84" spans="1:5" ht="18.75" customHeight="1" thickBot="1">
      <c r="A84" s="133" t="s">
        <v>17</v>
      </c>
      <c r="B84" s="196">
        <v>8000</v>
      </c>
      <c r="C84" s="196">
        <v>0</v>
      </c>
      <c r="D84" s="145">
        <f t="shared" si="0"/>
        <v>0</v>
      </c>
      <c r="E84" s="146">
        <f t="shared" si="1"/>
        <v>-8000</v>
      </c>
    </row>
    <row r="85" spans="1:5" ht="19.5" customHeight="1" thickBot="1">
      <c r="A85" s="129" t="s">
        <v>41</v>
      </c>
      <c r="B85" s="184">
        <f>B86</f>
        <v>666900</v>
      </c>
      <c r="C85" s="184">
        <f>C86</f>
        <v>276606.6</v>
      </c>
      <c r="D85" s="131">
        <f t="shared" si="0"/>
        <v>41.476473234367965</v>
      </c>
      <c r="E85" s="132">
        <f t="shared" si="1"/>
        <v>-390293.4</v>
      </c>
    </row>
    <row r="86" spans="1:5" ht="12.75">
      <c r="A86" s="117" t="s">
        <v>42</v>
      </c>
      <c r="B86" s="118">
        <f>SUM(B87:B89)</f>
        <v>666900</v>
      </c>
      <c r="C86" s="118">
        <f>SUM(C87:C89)</f>
        <v>276606.6</v>
      </c>
      <c r="D86" s="119">
        <f t="shared" si="0"/>
        <v>41.476473234367965</v>
      </c>
      <c r="E86" s="120">
        <f t="shared" si="1"/>
        <v>-390293.4</v>
      </c>
    </row>
    <row r="87" spans="1:5" ht="12.75">
      <c r="A87" s="169" t="s">
        <v>143</v>
      </c>
      <c r="B87" s="118">
        <v>239400</v>
      </c>
      <c r="C87" s="126">
        <v>239400</v>
      </c>
      <c r="D87" s="119">
        <f t="shared" si="0"/>
        <v>100</v>
      </c>
      <c r="E87" s="120">
        <f t="shared" si="1"/>
        <v>0</v>
      </c>
    </row>
    <row r="88" spans="1:5" ht="12.75">
      <c r="A88" s="16" t="s">
        <v>226</v>
      </c>
      <c r="B88" s="118">
        <v>0</v>
      </c>
      <c r="C88" s="126">
        <v>0</v>
      </c>
      <c r="D88" s="119" t="str">
        <f t="shared" si="0"/>
        <v>   </v>
      </c>
      <c r="E88" s="120">
        <f t="shared" si="1"/>
        <v>0</v>
      </c>
    </row>
    <row r="89" spans="1:5" ht="12.75">
      <c r="A89" s="117" t="s">
        <v>205</v>
      </c>
      <c r="B89" s="118">
        <v>427500</v>
      </c>
      <c r="C89" s="126">
        <v>37206.6</v>
      </c>
      <c r="D89" s="119">
        <f t="shared" si="0"/>
        <v>8.703298245614034</v>
      </c>
      <c r="E89" s="120">
        <f t="shared" si="1"/>
        <v>-390293.4</v>
      </c>
    </row>
    <row r="90" spans="1:5" ht="18.75" customHeight="1">
      <c r="A90" s="16" t="s">
        <v>124</v>
      </c>
      <c r="B90" s="25">
        <f>SUM(B91,)</f>
        <v>10000</v>
      </c>
      <c r="C90" s="25">
        <f>SUM(C91,)</f>
        <v>5000</v>
      </c>
      <c r="D90" s="26">
        <f t="shared" si="0"/>
        <v>50</v>
      </c>
      <c r="E90" s="42">
        <f t="shared" si="1"/>
        <v>-5000</v>
      </c>
    </row>
    <row r="91" spans="1:5" ht="14.25" customHeight="1">
      <c r="A91" s="105" t="s">
        <v>43</v>
      </c>
      <c r="B91" s="114">
        <v>10000</v>
      </c>
      <c r="C91" s="116">
        <v>5000</v>
      </c>
      <c r="D91" s="112">
        <f t="shared" si="0"/>
        <v>50</v>
      </c>
      <c r="E91" s="113">
        <f t="shared" si="1"/>
        <v>-5000</v>
      </c>
    </row>
    <row r="92" spans="1:5" ht="22.5" customHeight="1">
      <c r="A92" s="173" t="s">
        <v>15</v>
      </c>
      <c r="B92" s="150">
        <f>SUM(B47,B55,B57,B59,B73,B84,B85,B90,)</f>
        <v>3289627.9699999997</v>
      </c>
      <c r="C92" s="150">
        <f>SUM(C47,C55,C57,C59,C73,C84,C85,C90,)</f>
        <v>1117524.73</v>
      </c>
      <c r="D92" s="141">
        <f>IF(B92=0,"   ",C92/B92*100)</f>
        <v>33.971158446831915</v>
      </c>
      <c r="E92" s="142">
        <f t="shared" si="1"/>
        <v>-2172103.2399999998</v>
      </c>
    </row>
    <row r="93" spans="1:5" ht="18.75" customHeight="1">
      <c r="A93" s="80" t="s">
        <v>225</v>
      </c>
      <c r="B93" s="80"/>
      <c r="C93" s="306"/>
      <c r="D93" s="306"/>
      <c r="E93" s="306"/>
    </row>
    <row r="94" spans="1:5" ht="18" customHeight="1">
      <c r="A94" s="80" t="s">
        <v>154</v>
      </c>
      <c r="B94" s="80"/>
      <c r="C94" s="81" t="s">
        <v>251</v>
      </c>
      <c r="D94" s="82"/>
      <c r="E94" s="83"/>
    </row>
    <row r="95" spans="1:5" s="59" customFormat="1" ht="23.25" customHeight="1">
      <c r="A95" s="7"/>
      <c r="B95" s="7"/>
      <c r="C95" s="6"/>
      <c r="D95" s="7"/>
      <c r="E95" s="2"/>
    </row>
    <row r="96" spans="1:5" s="59" customFormat="1" ht="12" customHeight="1">
      <c r="A96" s="7"/>
      <c r="B96" s="7"/>
      <c r="C96" s="6"/>
      <c r="D96" s="7"/>
      <c r="E96" s="2"/>
    </row>
    <row r="97" spans="1:5" ht="12.75">
      <c r="A97" s="7"/>
      <c r="B97" s="7"/>
      <c r="C97" s="6"/>
      <c r="D97" s="7"/>
      <c r="E97" s="2"/>
    </row>
    <row r="98" spans="1:5" ht="12.75">
      <c r="A98" s="7"/>
      <c r="B98" s="7"/>
      <c r="C98" s="6"/>
      <c r="D98" s="7"/>
      <c r="E98" s="2"/>
    </row>
    <row r="99" spans="1:5" ht="12.75">
      <c r="A99" s="4"/>
      <c r="B99" s="4"/>
      <c r="C99" s="4"/>
      <c r="D99" s="4"/>
      <c r="E99" s="4"/>
    </row>
    <row r="100" spans="1:5" ht="12.75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  <row r="123" spans="1:5" ht="12.75">
      <c r="A123" s="4"/>
      <c r="B123" s="4"/>
      <c r="C123" s="4"/>
      <c r="D123" s="4"/>
      <c r="E123" s="4"/>
    </row>
  </sheetData>
  <sheetProtection/>
  <mergeCells count="2">
    <mergeCell ref="A1:E1"/>
    <mergeCell ref="C93:E93"/>
  </mergeCells>
  <printOptions/>
  <pageMargins left="1.1811023622047245" right="0.7874015748031497" top="0.3937007874015748" bottom="0.3937007874015748" header="0.3937007874015748" footer="0.3937007874015748"/>
  <pageSetup fitToHeight="2" fitToWidth="1" horizontalDpi="600" verticalDpi="600" orientation="landscape" paperSize="9" scale="6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zoomScalePageLayoutView="0" workbookViewId="0" topLeftCell="A85">
      <selection activeCell="D41" sqref="D41:E41"/>
    </sheetView>
  </sheetViews>
  <sheetFormatPr defaultColWidth="9.00390625" defaultRowHeight="12.75"/>
  <cols>
    <col min="1" max="1" width="118.375" style="0" customWidth="1"/>
    <col min="2" max="2" width="15.125" style="0" customWidth="1"/>
    <col min="3" max="3" width="16.375" style="0" customWidth="1"/>
    <col min="4" max="4" width="15.875" style="0" customWidth="1"/>
    <col min="5" max="5" width="15.50390625" style="0" customWidth="1"/>
  </cols>
  <sheetData>
    <row r="1" spans="1:5" ht="17.25">
      <c r="A1" s="308" t="s">
        <v>302</v>
      </c>
      <c r="B1" s="308"/>
      <c r="C1" s="308"/>
      <c r="D1" s="308"/>
      <c r="E1" s="308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85.5" customHeight="1">
      <c r="A4" s="34" t="s">
        <v>1</v>
      </c>
      <c r="B4" s="19" t="s">
        <v>256</v>
      </c>
      <c r="C4" s="32" t="s">
        <v>303</v>
      </c>
      <c r="D4" s="19" t="s">
        <v>257</v>
      </c>
      <c r="E4" s="36" t="s">
        <v>258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5" customHeight="1">
      <c r="A7" s="17" t="s">
        <v>45</v>
      </c>
      <c r="B7" s="217">
        <f>SUM(B8)</f>
        <v>50200</v>
      </c>
      <c r="C7" s="218">
        <f>SUM(C8)</f>
        <v>23061.36</v>
      </c>
      <c r="D7" s="26">
        <f aca="true" t="shared" si="0" ref="D7:D93">IF(B7=0,"   ",C7/B7*100)</f>
        <v>45.9389641434263</v>
      </c>
      <c r="E7" s="42">
        <f aca="true" t="shared" si="1" ref="E7:E94">C7-B7</f>
        <v>-27138.64</v>
      </c>
    </row>
    <row r="8" spans="1:5" ht="12.75" customHeight="1">
      <c r="A8" s="16" t="s">
        <v>44</v>
      </c>
      <c r="B8" s="219">
        <v>50200</v>
      </c>
      <c r="C8" s="239">
        <v>23061.36</v>
      </c>
      <c r="D8" s="26">
        <f t="shared" si="0"/>
        <v>45.9389641434263</v>
      </c>
      <c r="E8" s="42">
        <f t="shared" si="1"/>
        <v>-27138.64</v>
      </c>
    </row>
    <row r="9" spans="1:5" ht="12.75" customHeight="1">
      <c r="A9" s="64" t="s">
        <v>137</v>
      </c>
      <c r="B9" s="217">
        <f>SUM(B10)</f>
        <v>729400</v>
      </c>
      <c r="C9" s="220">
        <f>SUM(C10)</f>
        <v>315424.07</v>
      </c>
      <c r="D9" s="26">
        <f t="shared" si="0"/>
        <v>43.24431998903208</v>
      </c>
      <c r="E9" s="42">
        <f t="shared" si="1"/>
        <v>-413975.93</v>
      </c>
    </row>
    <row r="10" spans="1:5" ht="12.75" customHeight="1">
      <c r="A10" s="41" t="s">
        <v>138</v>
      </c>
      <c r="B10" s="219">
        <v>729400</v>
      </c>
      <c r="C10" s="239">
        <v>315424.07</v>
      </c>
      <c r="D10" s="26">
        <f t="shared" si="0"/>
        <v>43.24431998903208</v>
      </c>
      <c r="E10" s="42">
        <f t="shared" si="1"/>
        <v>-413975.93</v>
      </c>
    </row>
    <row r="11" spans="1:5" ht="16.5" customHeight="1">
      <c r="A11" s="16" t="s">
        <v>7</v>
      </c>
      <c r="B11" s="219">
        <f>SUM(B12:B12)</f>
        <v>15000</v>
      </c>
      <c r="C11" s="221">
        <f>SUM(C12:C12)</f>
        <v>12600.06</v>
      </c>
      <c r="D11" s="26">
        <f t="shared" si="0"/>
        <v>84.0004</v>
      </c>
      <c r="E11" s="42">
        <f t="shared" si="1"/>
        <v>-2399.9400000000005</v>
      </c>
    </row>
    <row r="12" spans="1:5" ht="16.5" customHeight="1">
      <c r="A12" s="16" t="s">
        <v>26</v>
      </c>
      <c r="B12" s="219">
        <v>15000</v>
      </c>
      <c r="C12" s="239">
        <v>12600.06</v>
      </c>
      <c r="D12" s="26">
        <f t="shared" si="0"/>
        <v>84.0004</v>
      </c>
      <c r="E12" s="42">
        <f t="shared" si="1"/>
        <v>-2399.9400000000005</v>
      </c>
    </row>
    <row r="13" spans="1:5" ht="15.75" customHeight="1">
      <c r="A13" s="16" t="s">
        <v>9</v>
      </c>
      <c r="B13" s="219">
        <f>SUM(B14:B15)</f>
        <v>533000</v>
      </c>
      <c r="C13" s="221">
        <f>SUM(C14:C15)</f>
        <v>57967.6</v>
      </c>
      <c r="D13" s="26">
        <f t="shared" si="0"/>
        <v>10.875722326454033</v>
      </c>
      <c r="E13" s="42">
        <f t="shared" si="1"/>
        <v>-475032.4</v>
      </c>
    </row>
    <row r="14" spans="1:5" ht="15.75" customHeight="1">
      <c r="A14" s="16" t="s">
        <v>27</v>
      </c>
      <c r="B14" s="219">
        <v>222000</v>
      </c>
      <c r="C14" s="239">
        <v>1634.28</v>
      </c>
      <c r="D14" s="26">
        <f t="shared" si="0"/>
        <v>0.7361621621621622</v>
      </c>
      <c r="E14" s="42">
        <f t="shared" si="1"/>
        <v>-220365.72</v>
      </c>
    </row>
    <row r="15" spans="1:5" ht="14.25" customHeight="1">
      <c r="A15" s="41" t="s">
        <v>161</v>
      </c>
      <c r="B15" s="204">
        <f>SUM(B16:B17)</f>
        <v>311000</v>
      </c>
      <c r="C15" s="221">
        <f>SUM(C16:C17)</f>
        <v>56333.32</v>
      </c>
      <c r="D15" s="26">
        <f t="shared" si="0"/>
        <v>18.1136077170418</v>
      </c>
      <c r="E15" s="42">
        <f t="shared" si="1"/>
        <v>-254666.68</v>
      </c>
    </row>
    <row r="16" spans="1:5" ht="14.25" customHeight="1">
      <c r="A16" s="41" t="s">
        <v>162</v>
      </c>
      <c r="B16" s="204">
        <v>63000</v>
      </c>
      <c r="C16" s="239">
        <v>42184.94</v>
      </c>
      <c r="D16" s="26">
        <f t="shared" si="0"/>
        <v>66.96022222222223</v>
      </c>
      <c r="E16" s="42">
        <f t="shared" si="1"/>
        <v>-20815.059999999998</v>
      </c>
    </row>
    <row r="17" spans="1:5" ht="14.25" customHeight="1">
      <c r="A17" s="41" t="s">
        <v>163</v>
      </c>
      <c r="B17" s="204">
        <v>248000</v>
      </c>
      <c r="C17" s="239">
        <v>14148.38</v>
      </c>
      <c r="D17" s="26">
        <f t="shared" si="0"/>
        <v>5.7049919354838705</v>
      </c>
      <c r="E17" s="42">
        <f t="shared" si="1"/>
        <v>-233851.62</v>
      </c>
    </row>
    <row r="18" spans="1:5" ht="14.25" customHeight="1">
      <c r="A18" s="41" t="s">
        <v>197</v>
      </c>
      <c r="B18" s="204">
        <v>0</v>
      </c>
      <c r="C18" s="239">
        <v>300</v>
      </c>
      <c r="D18" s="26" t="str">
        <f t="shared" si="0"/>
        <v>   </v>
      </c>
      <c r="E18" s="42">
        <f t="shared" si="1"/>
        <v>300</v>
      </c>
    </row>
    <row r="19" spans="1:5" ht="15" customHeight="1">
      <c r="A19" s="16" t="s">
        <v>88</v>
      </c>
      <c r="B19" s="219">
        <v>0</v>
      </c>
      <c r="C19" s="221">
        <v>0</v>
      </c>
      <c r="D19" s="26" t="str">
        <f t="shared" si="0"/>
        <v>   </v>
      </c>
      <c r="E19" s="42">
        <f t="shared" si="1"/>
        <v>0</v>
      </c>
    </row>
    <row r="20" spans="1:5" ht="13.5" customHeight="1">
      <c r="A20" s="16" t="s">
        <v>28</v>
      </c>
      <c r="B20" s="219">
        <f>SUM(B21:B22)</f>
        <v>180400</v>
      </c>
      <c r="C20" s="221">
        <f>SUM(C21:C22)</f>
        <v>73532.72</v>
      </c>
      <c r="D20" s="26">
        <f t="shared" si="0"/>
        <v>40.76093126385809</v>
      </c>
      <c r="E20" s="42">
        <f t="shared" si="1"/>
        <v>-106867.28</v>
      </c>
    </row>
    <row r="21" spans="1:5" ht="13.5" customHeight="1">
      <c r="A21" s="41" t="s">
        <v>152</v>
      </c>
      <c r="B21" s="219">
        <v>65700</v>
      </c>
      <c r="C21" s="239">
        <v>20177</v>
      </c>
      <c r="D21" s="26">
        <f t="shared" si="0"/>
        <v>30.71080669710807</v>
      </c>
      <c r="E21" s="42">
        <f t="shared" si="1"/>
        <v>-45523</v>
      </c>
    </row>
    <row r="22" spans="1:5" ht="15.75" customHeight="1">
      <c r="A22" s="16" t="s">
        <v>30</v>
      </c>
      <c r="B22" s="219">
        <v>114700</v>
      </c>
      <c r="C22" s="239">
        <v>53355.72</v>
      </c>
      <c r="D22" s="26">
        <f t="shared" si="0"/>
        <v>46.51762859633827</v>
      </c>
      <c r="E22" s="42">
        <f t="shared" si="1"/>
        <v>-61344.28</v>
      </c>
    </row>
    <row r="23" spans="1:5" ht="17.25" customHeight="1">
      <c r="A23" s="39" t="s">
        <v>91</v>
      </c>
      <c r="B23" s="219">
        <v>5300</v>
      </c>
      <c r="C23" s="239">
        <v>5315.31</v>
      </c>
      <c r="D23" s="26">
        <f t="shared" si="0"/>
        <v>100.28886792452832</v>
      </c>
      <c r="E23" s="42">
        <f t="shared" si="1"/>
        <v>15.3100000000004</v>
      </c>
    </row>
    <row r="24" spans="1:5" ht="18.75" customHeight="1">
      <c r="A24" s="16" t="s">
        <v>78</v>
      </c>
      <c r="B24" s="219">
        <f>SUM(B25)</f>
        <v>0</v>
      </c>
      <c r="C24" s="221">
        <f>SUM(C25)</f>
        <v>0</v>
      </c>
      <c r="D24" s="26" t="str">
        <f t="shared" si="0"/>
        <v>   </v>
      </c>
      <c r="E24" s="42">
        <f t="shared" si="1"/>
        <v>0</v>
      </c>
    </row>
    <row r="25" spans="1:5" ht="22.5" customHeight="1">
      <c r="A25" s="16" t="s">
        <v>199</v>
      </c>
      <c r="B25" s="219">
        <v>0</v>
      </c>
      <c r="C25" s="241"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32</v>
      </c>
      <c r="B26" s="219">
        <f>B27+B28</f>
        <v>0</v>
      </c>
      <c r="C26" s="221">
        <f>C27+C28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16" t="s">
        <v>46</v>
      </c>
      <c r="B27" s="219">
        <v>0</v>
      </c>
      <c r="C27" s="222">
        <v>0</v>
      </c>
      <c r="D27" s="26" t="str">
        <f t="shared" si="0"/>
        <v>   </v>
      </c>
      <c r="E27" s="42">
        <f t="shared" si="1"/>
        <v>0</v>
      </c>
    </row>
    <row r="28" spans="1:5" ht="13.5" customHeight="1">
      <c r="A28" s="16" t="s">
        <v>20</v>
      </c>
      <c r="B28" s="219">
        <v>0</v>
      </c>
      <c r="C28" s="222">
        <v>0</v>
      </c>
      <c r="D28" s="26"/>
      <c r="E28" s="42">
        <f t="shared" si="1"/>
        <v>0</v>
      </c>
    </row>
    <row r="29" spans="1:5" ht="12" customHeight="1">
      <c r="A29" s="16" t="s">
        <v>31</v>
      </c>
      <c r="B29" s="219">
        <v>0</v>
      </c>
      <c r="C29" s="221">
        <v>0</v>
      </c>
      <c r="D29" s="26" t="str">
        <f t="shared" si="0"/>
        <v>   </v>
      </c>
      <c r="E29" s="42">
        <f t="shared" si="1"/>
        <v>0</v>
      </c>
    </row>
    <row r="30" spans="1:5" ht="21" customHeight="1">
      <c r="A30" s="173" t="s">
        <v>10</v>
      </c>
      <c r="B30" s="213">
        <f>SUM(B7,B9,B11,B13,B20,B23,B24,B26,B29,B18)</f>
        <v>1513300</v>
      </c>
      <c r="C30" s="213">
        <f>SUM(C7,C9,C11,C13,C20,C23,C24,C26,C29,C18)</f>
        <v>488201.11999999994</v>
      </c>
      <c r="D30" s="141">
        <f t="shared" si="0"/>
        <v>32.260696491112135</v>
      </c>
      <c r="E30" s="142">
        <f t="shared" si="1"/>
        <v>-1025098.8800000001</v>
      </c>
    </row>
    <row r="31" spans="1:5" ht="21" customHeight="1">
      <c r="A31" s="190" t="s">
        <v>140</v>
      </c>
      <c r="B31" s="224">
        <f>SUM(B32:B35,B38:B42,B45)</f>
        <v>4114695.29</v>
      </c>
      <c r="C31" s="224">
        <f>SUM(C32:C35,C38:C42,C45)</f>
        <v>942622</v>
      </c>
      <c r="D31" s="141">
        <f t="shared" si="0"/>
        <v>22.908670838661298</v>
      </c>
      <c r="E31" s="142">
        <f t="shared" si="1"/>
        <v>-3172073.29</v>
      </c>
    </row>
    <row r="32" spans="1:5" ht="18" customHeight="1">
      <c r="A32" s="17" t="s">
        <v>34</v>
      </c>
      <c r="B32" s="217">
        <v>1371200</v>
      </c>
      <c r="C32" s="242">
        <v>685600</v>
      </c>
      <c r="D32" s="26">
        <f t="shared" si="0"/>
        <v>50</v>
      </c>
      <c r="E32" s="42">
        <f t="shared" si="1"/>
        <v>-685600</v>
      </c>
    </row>
    <row r="33" spans="1:5" ht="18" customHeight="1">
      <c r="A33" s="17" t="s">
        <v>232</v>
      </c>
      <c r="B33" s="217">
        <v>0</v>
      </c>
      <c r="C33" s="242">
        <v>0</v>
      </c>
      <c r="D33" s="136" t="str">
        <f>IF(B33=0,"   ",C33/B33*100)</f>
        <v>   </v>
      </c>
      <c r="E33" s="137">
        <f>C33-B33</f>
        <v>0</v>
      </c>
    </row>
    <row r="34" spans="1:5" ht="28.5" customHeight="1">
      <c r="A34" s="134" t="s">
        <v>51</v>
      </c>
      <c r="B34" s="135">
        <v>90400</v>
      </c>
      <c r="C34" s="244">
        <v>47000</v>
      </c>
      <c r="D34" s="136">
        <f t="shared" si="0"/>
        <v>51.991150442477874</v>
      </c>
      <c r="E34" s="137">
        <f t="shared" si="1"/>
        <v>-43400</v>
      </c>
    </row>
    <row r="35" spans="1:5" ht="30.75" customHeight="1">
      <c r="A35" s="109" t="s">
        <v>148</v>
      </c>
      <c r="B35" s="135">
        <f>SUM(B36:B37)</f>
        <v>6700</v>
      </c>
      <c r="C35" s="135">
        <f>SUM(C36:C37)</f>
        <v>100</v>
      </c>
      <c r="D35" s="136">
        <f t="shared" si="0"/>
        <v>1.4925373134328357</v>
      </c>
      <c r="E35" s="137">
        <f t="shared" si="1"/>
        <v>-6600</v>
      </c>
    </row>
    <row r="36" spans="1:5" ht="16.5" customHeight="1">
      <c r="A36" s="109" t="s">
        <v>164</v>
      </c>
      <c r="B36" s="225">
        <v>100</v>
      </c>
      <c r="C36" s="231">
        <v>100</v>
      </c>
      <c r="D36" s="136">
        <f aca="true" t="shared" si="2" ref="D36:D41">IF(B36=0,"   ",C36/B36*100)</f>
        <v>100</v>
      </c>
      <c r="E36" s="137">
        <f aca="true" t="shared" si="3" ref="E36:E41">C36-B36</f>
        <v>0</v>
      </c>
    </row>
    <row r="37" spans="1:5" ht="30.75" customHeight="1">
      <c r="A37" s="109" t="s">
        <v>165</v>
      </c>
      <c r="B37" s="135">
        <v>6600</v>
      </c>
      <c r="C37" s="138">
        <v>0</v>
      </c>
      <c r="D37" s="136">
        <f t="shared" si="2"/>
        <v>0</v>
      </c>
      <c r="E37" s="137">
        <f t="shared" si="3"/>
        <v>-6600</v>
      </c>
    </row>
    <row r="38" spans="1:5" ht="25.5" customHeight="1">
      <c r="A38" s="16" t="s">
        <v>103</v>
      </c>
      <c r="B38" s="225">
        <v>0</v>
      </c>
      <c r="C38" s="225">
        <v>0</v>
      </c>
      <c r="D38" s="136" t="str">
        <f t="shared" si="2"/>
        <v>   </v>
      </c>
      <c r="E38" s="137">
        <f t="shared" si="3"/>
        <v>0</v>
      </c>
    </row>
    <row r="39" spans="1:5" ht="25.5" customHeight="1">
      <c r="A39" s="16" t="s">
        <v>171</v>
      </c>
      <c r="B39" s="225">
        <v>0</v>
      </c>
      <c r="C39" s="225">
        <v>0</v>
      </c>
      <c r="D39" s="136" t="str">
        <f t="shared" si="2"/>
        <v>   </v>
      </c>
      <c r="E39" s="137">
        <f t="shared" si="3"/>
        <v>0</v>
      </c>
    </row>
    <row r="40" spans="1:5" ht="51" customHeight="1">
      <c r="A40" s="16" t="s">
        <v>241</v>
      </c>
      <c r="B40" s="135">
        <v>706300</v>
      </c>
      <c r="C40" s="135">
        <v>0</v>
      </c>
      <c r="D40" s="136">
        <f t="shared" si="2"/>
        <v>0</v>
      </c>
      <c r="E40" s="137">
        <f t="shared" si="3"/>
        <v>-706300</v>
      </c>
    </row>
    <row r="41" spans="1:5" ht="22.5" customHeight="1">
      <c r="A41" s="16" t="s">
        <v>284</v>
      </c>
      <c r="B41" s="135">
        <v>904949.49</v>
      </c>
      <c r="C41" s="135">
        <v>0</v>
      </c>
      <c r="D41" s="136">
        <f t="shared" si="2"/>
        <v>0</v>
      </c>
      <c r="E41" s="137">
        <f t="shared" si="3"/>
        <v>-904949.49</v>
      </c>
    </row>
    <row r="42" spans="1:5" ht="15" customHeight="1">
      <c r="A42" s="16" t="s">
        <v>81</v>
      </c>
      <c r="B42" s="219">
        <f>B44+B43</f>
        <v>816600</v>
      </c>
      <c r="C42" s="219">
        <f>C44+C43</f>
        <v>209922</v>
      </c>
      <c r="D42" s="26">
        <f t="shared" si="0"/>
        <v>25.706833210874358</v>
      </c>
      <c r="E42" s="42">
        <f t="shared" si="1"/>
        <v>-606678</v>
      </c>
    </row>
    <row r="43" spans="1:5" ht="15" customHeight="1">
      <c r="A43" s="46" t="s">
        <v>189</v>
      </c>
      <c r="B43" s="219">
        <v>365500</v>
      </c>
      <c r="C43" s="219">
        <v>0</v>
      </c>
      <c r="D43" s="26">
        <f t="shared" si="0"/>
        <v>0</v>
      </c>
      <c r="E43" s="42">
        <f t="shared" si="1"/>
        <v>-365500</v>
      </c>
    </row>
    <row r="44" spans="1:5" s="7" customFormat="1" ht="15" customHeight="1">
      <c r="A44" s="46" t="s">
        <v>109</v>
      </c>
      <c r="B44" s="227">
        <v>451100</v>
      </c>
      <c r="C44" s="227">
        <v>209922</v>
      </c>
      <c r="D44" s="136">
        <f>IF(B44=0,"   ",C44/B44*100)</f>
        <v>46.535579694081136</v>
      </c>
      <c r="E44" s="137">
        <f>C44-B44</f>
        <v>-241178</v>
      </c>
    </row>
    <row r="45" spans="1:5" s="7" customFormat="1" ht="15" customHeight="1">
      <c r="A45" s="16" t="s">
        <v>200</v>
      </c>
      <c r="B45" s="227">
        <v>218545.8</v>
      </c>
      <c r="C45" s="227">
        <v>0</v>
      </c>
      <c r="D45" s="47">
        <f t="shared" si="0"/>
        <v>0</v>
      </c>
      <c r="E45" s="40">
        <f t="shared" si="1"/>
        <v>-218545.8</v>
      </c>
    </row>
    <row r="46" spans="1:5" ht="21" customHeight="1">
      <c r="A46" s="173" t="s">
        <v>11</v>
      </c>
      <c r="B46" s="213">
        <f>SUM(B30:B31,)</f>
        <v>5627995.29</v>
      </c>
      <c r="C46" s="213">
        <f>SUM(C30:C31,)</f>
        <v>1430823.1199999999</v>
      </c>
      <c r="D46" s="26">
        <f t="shared" si="0"/>
        <v>25.4233176517104</v>
      </c>
      <c r="E46" s="42">
        <f t="shared" si="1"/>
        <v>-4197172.17</v>
      </c>
    </row>
    <row r="47" spans="1:5" ht="12.75" customHeight="1">
      <c r="A47" s="22" t="s">
        <v>12</v>
      </c>
      <c r="B47" s="44"/>
      <c r="C47" s="45"/>
      <c r="D47" s="26" t="str">
        <f t="shared" si="0"/>
        <v>   </v>
      </c>
      <c r="E47" s="42">
        <f t="shared" si="1"/>
        <v>0</v>
      </c>
    </row>
    <row r="48" spans="1:5" ht="21" customHeight="1">
      <c r="A48" s="16" t="s">
        <v>35</v>
      </c>
      <c r="B48" s="25">
        <f>SUM(B49,B52,B53)</f>
        <v>1210900</v>
      </c>
      <c r="C48" s="25">
        <f>SUM(C49,C52,C53)</f>
        <v>625808.15</v>
      </c>
      <c r="D48" s="26">
        <f t="shared" si="0"/>
        <v>51.68124122553473</v>
      </c>
      <c r="E48" s="42">
        <f t="shared" si="1"/>
        <v>-585091.85</v>
      </c>
    </row>
    <row r="49" spans="1:5" ht="15" customHeight="1">
      <c r="A49" s="16" t="s">
        <v>36</v>
      </c>
      <c r="B49" s="25">
        <v>1170400</v>
      </c>
      <c r="C49" s="25">
        <v>585808.15</v>
      </c>
      <c r="D49" s="26">
        <f t="shared" si="0"/>
        <v>50.05196086807929</v>
      </c>
      <c r="E49" s="42">
        <f t="shared" si="1"/>
        <v>-584591.85</v>
      </c>
    </row>
    <row r="50" spans="1:5" ht="15" customHeight="1">
      <c r="A50" s="85" t="s">
        <v>121</v>
      </c>
      <c r="B50" s="25">
        <v>752995</v>
      </c>
      <c r="C50" s="28">
        <v>389999.31</v>
      </c>
      <c r="D50" s="26">
        <f t="shared" si="0"/>
        <v>51.79308096335301</v>
      </c>
      <c r="E50" s="42">
        <f t="shared" si="1"/>
        <v>-362995.69</v>
      </c>
    </row>
    <row r="51" spans="1:5" ht="15" customHeight="1">
      <c r="A51" s="85" t="s">
        <v>293</v>
      </c>
      <c r="B51" s="25">
        <v>100</v>
      </c>
      <c r="C51" s="28">
        <v>100</v>
      </c>
      <c r="D51" s="26">
        <f>IF(B51=0,"   ",C51/B51*100)</f>
        <v>100</v>
      </c>
      <c r="E51" s="42">
        <f>C51-B51</f>
        <v>0</v>
      </c>
    </row>
    <row r="52" spans="1:5" ht="12.75" customHeight="1">
      <c r="A52" s="16" t="s">
        <v>95</v>
      </c>
      <c r="B52" s="25">
        <v>500</v>
      </c>
      <c r="C52" s="27">
        <v>0</v>
      </c>
      <c r="D52" s="26">
        <f t="shared" si="0"/>
        <v>0</v>
      </c>
      <c r="E52" s="42">
        <f t="shared" si="1"/>
        <v>-500</v>
      </c>
    </row>
    <row r="53" spans="1:5" ht="12.75" customHeight="1">
      <c r="A53" s="41" t="s">
        <v>52</v>
      </c>
      <c r="B53" s="27">
        <f>SUM(B55+B54)</f>
        <v>40000</v>
      </c>
      <c r="C53" s="27">
        <f>SUM(C55+C54)</f>
        <v>40000</v>
      </c>
      <c r="D53" s="26">
        <f t="shared" si="0"/>
        <v>100</v>
      </c>
      <c r="E53" s="42">
        <f t="shared" si="1"/>
        <v>0</v>
      </c>
    </row>
    <row r="54" spans="1:5" ht="18.75" customHeight="1">
      <c r="A54" s="105" t="s">
        <v>239</v>
      </c>
      <c r="B54" s="27">
        <v>0</v>
      </c>
      <c r="C54" s="27">
        <v>0</v>
      </c>
      <c r="D54" s="26" t="str">
        <f>IF(B54=0,"   ",C54/B54*100)</f>
        <v>   </v>
      </c>
      <c r="E54" s="42">
        <f>C54-B54</f>
        <v>0</v>
      </c>
    </row>
    <row r="55" spans="1:5" ht="23.25" customHeight="1">
      <c r="A55" s="105" t="s">
        <v>252</v>
      </c>
      <c r="B55" s="25">
        <v>40000</v>
      </c>
      <c r="C55" s="27">
        <v>40000</v>
      </c>
      <c r="D55" s="26">
        <f t="shared" si="0"/>
        <v>100</v>
      </c>
      <c r="E55" s="42">
        <f t="shared" si="1"/>
        <v>0</v>
      </c>
    </row>
    <row r="56" spans="1:5" ht="21.75" customHeight="1">
      <c r="A56" s="16" t="s">
        <v>49</v>
      </c>
      <c r="B56" s="27">
        <f>SUM(B57)</f>
        <v>90400</v>
      </c>
      <c r="C56" s="27">
        <f>SUM(C57)</f>
        <v>44234.35</v>
      </c>
      <c r="D56" s="26">
        <f t="shared" si="0"/>
        <v>48.93180309734513</v>
      </c>
      <c r="E56" s="42">
        <f t="shared" si="1"/>
        <v>-46165.65</v>
      </c>
    </row>
    <row r="57" spans="1:5" ht="13.5" customHeight="1">
      <c r="A57" s="39" t="s">
        <v>107</v>
      </c>
      <c r="B57" s="25">
        <v>90400</v>
      </c>
      <c r="C57" s="27">
        <v>44234.35</v>
      </c>
      <c r="D57" s="26">
        <f t="shared" si="0"/>
        <v>48.93180309734513</v>
      </c>
      <c r="E57" s="42">
        <f t="shared" si="1"/>
        <v>-46165.65</v>
      </c>
    </row>
    <row r="58" spans="1:5" ht="16.5" customHeight="1">
      <c r="A58" s="16" t="s">
        <v>37</v>
      </c>
      <c r="B58" s="25">
        <f>SUM(B59)</f>
        <v>1000</v>
      </c>
      <c r="C58" s="27">
        <f>SUM(C59)</f>
        <v>1000</v>
      </c>
      <c r="D58" s="26">
        <f t="shared" si="0"/>
        <v>100</v>
      </c>
      <c r="E58" s="42">
        <f t="shared" si="1"/>
        <v>0</v>
      </c>
    </row>
    <row r="59" spans="1:5" ht="15" customHeight="1">
      <c r="A59" s="75" t="s">
        <v>128</v>
      </c>
      <c r="B59" s="25">
        <v>1000</v>
      </c>
      <c r="C59" s="27">
        <v>1000</v>
      </c>
      <c r="D59" s="26">
        <f t="shared" si="0"/>
        <v>100</v>
      </c>
      <c r="E59" s="42">
        <f t="shared" si="1"/>
        <v>0</v>
      </c>
    </row>
    <row r="60" spans="1:5" ht="18.75" customHeight="1">
      <c r="A60" s="16" t="s">
        <v>38</v>
      </c>
      <c r="B60" s="25">
        <f>SUM(B64,B61,B72)</f>
        <v>2096481.26</v>
      </c>
      <c r="C60" s="25">
        <f>SUM(C64,C61,C72)</f>
        <v>514569.87</v>
      </c>
      <c r="D60" s="26">
        <f t="shared" si="0"/>
        <v>24.54445359554514</v>
      </c>
      <c r="E60" s="42">
        <f t="shared" si="1"/>
        <v>-1581911.3900000001</v>
      </c>
    </row>
    <row r="61" spans="1:5" ht="18.75" customHeight="1">
      <c r="A61" s="75" t="s">
        <v>166</v>
      </c>
      <c r="B61" s="25">
        <f>SUM(B62+B63)</f>
        <v>6600</v>
      </c>
      <c r="C61" s="25">
        <f>SUM(C62+C63)</f>
        <v>0</v>
      </c>
      <c r="D61" s="26">
        <f>IF(B61=0,"   ",C61/B61*100)</f>
        <v>0</v>
      </c>
      <c r="E61" s="42">
        <f>C61-B61</f>
        <v>-6600</v>
      </c>
    </row>
    <row r="62" spans="1:5" ht="15" customHeight="1">
      <c r="A62" s="75" t="s">
        <v>167</v>
      </c>
      <c r="B62" s="25">
        <v>6600</v>
      </c>
      <c r="C62" s="25">
        <v>0</v>
      </c>
      <c r="D62" s="26">
        <f>IF(B62=0,"   ",C62/B62*100)</f>
        <v>0</v>
      </c>
      <c r="E62" s="42">
        <f>C62-B62</f>
        <v>-6600</v>
      </c>
    </row>
    <row r="63" spans="1:5" ht="15" customHeight="1">
      <c r="A63" s="75" t="s">
        <v>190</v>
      </c>
      <c r="B63" s="25">
        <v>0</v>
      </c>
      <c r="C63" s="25">
        <v>0</v>
      </c>
      <c r="D63" s="26" t="str">
        <f>IF(B63=0,"   ",C63/B63*100)</f>
        <v>   </v>
      </c>
      <c r="E63" s="42">
        <f>C63-B63</f>
        <v>0</v>
      </c>
    </row>
    <row r="64" spans="1:5" ht="13.5" customHeight="1">
      <c r="A64" s="16" t="s">
        <v>39</v>
      </c>
      <c r="B64" s="25">
        <f>SUM(B65:B71)</f>
        <v>2000881.26</v>
      </c>
      <c r="C64" s="25">
        <f>SUM(C65:C71)</f>
        <v>483569.87</v>
      </c>
      <c r="D64" s="26">
        <f t="shared" si="0"/>
        <v>24.16784442271202</v>
      </c>
      <c r="E64" s="42">
        <f t="shared" si="1"/>
        <v>-1517311.3900000001</v>
      </c>
    </row>
    <row r="65" spans="1:5" ht="17.25" customHeight="1">
      <c r="A65" s="75" t="s">
        <v>149</v>
      </c>
      <c r="B65" s="25">
        <v>200000</v>
      </c>
      <c r="C65" s="25">
        <v>191154.47</v>
      </c>
      <c r="D65" s="26">
        <f t="shared" si="0"/>
        <v>95.577235</v>
      </c>
      <c r="E65" s="42">
        <f t="shared" si="1"/>
        <v>-8845.529999999999</v>
      </c>
    </row>
    <row r="66" spans="1:5" ht="24" customHeight="1">
      <c r="A66" s="71" t="s">
        <v>262</v>
      </c>
      <c r="B66" s="25">
        <v>456081.26</v>
      </c>
      <c r="C66" s="25">
        <v>0</v>
      </c>
      <c r="D66" s="26">
        <f t="shared" si="0"/>
        <v>0</v>
      </c>
      <c r="E66" s="42">
        <f t="shared" si="1"/>
        <v>-456081.26</v>
      </c>
    </row>
    <row r="67" spans="1:5" ht="24" customHeight="1">
      <c r="A67" s="71" t="s">
        <v>263</v>
      </c>
      <c r="B67" s="25">
        <v>58700</v>
      </c>
      <c r="C67" s="25">
        <v>0</v>
      </c>
      <c r="D67" s="26">
        <f t="shared" si="0"/>
        <v>0</v>
      </c>
      <c r="E67" s="42">
        <f t="shared" si="1"/>
        <v>-58700</v>
      </c>
    </row>
    <row r="68" spans="1:5" ht="24" customHeight="1">
      <c r="A68" s="71" t="s">
        <v>264</v>
      </c>
      <c r="B68" s="25">
        <v>706300</v>
      </c>
      <c r="C68" s="25">
        <v>0</v>
      </c>
      <c r="D68" s="26">
        <f t="shared" si="0"/>
        <v>0</v>
      </c>
      <c r="E68" s="42">
        <f t="shared" si="1"/>
        <v>-706300</v>
      </c>
    </row>
    <row r="69" spans="1:5" ht="24" customHeight="1">
      <c r="A69" s="71" t="s">
        <v>265</v>
      </c>
      <c r="B69" s="25">
        <v>78500</v>
      </c>
      <c r="C69" s="25">
        <v>59168.4</v>
      </c>
      <c r="D69" s="26">
        <f t="shared" si="0"/>
        <v>75.37375796178344</v>
      </c>
      <c r="E69" s="42">
        <f t="shared" si="1"/>
        <v>-19331.6</v>
      </c>
    </row>
    <row r="70" spans="1:5" ht="24" customHeight="1">
      <c r="A70" s="71" t="s">
        <v>266</v>
      </c>
      <c r="B70" s="25">
        <v>451100</v>
      </c>
      <c r="C70" s="25">
        <v>209922</v>
      </c>
      <c r="D70" s="26">
        <f t="shared" si="0"/>
        <v>46.535579694081136</v>
      </c>
      <c r="E70" s="42">
        <f t="shared" si="1"/>
        <v>-241178</v>
      </c>
    </row>
    <row r="71" spans="1:5" ht="26.25" customHeight="1">
      <c r="A71" s="71" t="s">
        <v>267</v>
      </c>
      <c r="B71" s="25">
        <v>50200</v>
      </c>
      <c r="C71" s="25">
        <v>23325</v>
      </c>
      <c r="D71" s="26">
        <f t="shared" si="0"/>
        <v>46.46414342629482</v>
      </c>
      <c r="E71" s="42">
        <f t="shared" si="1"/>
        <v>-26875</v>
      </c>
    </row>
    <row r="72" spans="1:5" ht="26.25" customHeight="1">
      <c r="A72" s="96" t="s">
        <v>178</v>
      </c>
      <c r="B72" s="25">
        <f>B73</f>
        <v>89000</v>
      </c>
      <c r="C72" s="25">
        <f>C73</f>
        <v>31000</v>
      </c>
      <c r="D72" s="26">
        <f>IF(B72=0,"   ",C72/B72*100)</f>
        <v>34.831460674157306</v>
      </c>
      <c r="E72" s="42">
        <f>C72-B72</f>
        <v>-58000</v>
      </c>
    </row>
    <row r="73" spans="1:5" ht="26.25" customHeight="1">
      <c r="A73" s="75" t="s">
        <v>179</v>
      </c>
      <c r="B73" s="25">
        <v>89000</v>
      </c>
      <c r="C73" s="25">
        <v>31000</v>
      </c>
      <c r="D73" s="26">
        <f>IF(B73=0,"   ",C73/B73*100)</f>
        <v>34.831460674157306</v>
      </c>
      <c r="E73" s="42">
        <f>C73-B73</f>
        <v>-58000</v>
      </c>
    </row>
    <row r="74" spans="1:5" ht="20.25" customHeight="1">
      <c r="A74" s="16" t="s">
        <v>13</v>
      </c>
      <c r="B74" s="25">
        <f>B76+B75</f>
        <v>574260.58</v>
      </c>
      <c r="C74" s="25">
        <f>C76+C75</f>
        <v>81900</v>
      </c>
      <c r="D74" s="26">
        <f t="shared" si="0"/>
        <v>14.261818214999192</v>
      </c>
      <c r="E74" s="42">
        <f t="shared" si="1"/>
        <v>-492360.57999999996</v>
      </c>
    </row>
    <row r="75" spans="1:5" ht="20.25" customHeight="1">
      <c r="A75" s="41" t="s">
        <v>150</v>
      </c>
      <c r="B75" s="25">
        <v>0</v>
      </c>
      <c r="C75" s="25">
        <v>0</v>
      </c>
      <c r="D75" s="26" t="str">
        <f t="shared" si="0"/>
        <v>   </v>
      </c>
      <c r="E75" s="42">
        <f t="shared" si="1"/>
        <v>0</v>
      </c>
    </row>
    <row r="76" spans="1:5" ht="12.75" customHeight="1">
      <c r="A76" s="16" t="s">
        <v>99</v>
      </c>
      <c r="B76" s="25">
        <f>B77+B78+B83+B79</f>
        <v>574260.58</v>
      </c>
      <c r="C76" s="25">
        <f>C77+C78+C83+C79</f>
        <v>81900</v>
      </c>
      <c r="D76" s="26">
        <f t="shared" si="0"/>
        <v>14.261818214999192</v>
      </c>
      <c r="E76" s="42">
        <f t="shared" si="1"/>
        <v>-492360.57999999996</v>
      </c>
    </row>
    <row r="77" spans="1:5" ht="12.75" customHeight="1">
      <c r="A77" s="16" t="s">
        <v>100</v>
      </c>
      <c r="B77" s="25">
        <v>117000</v>
      </c>
      <c r="C77" s="25">
        <v>81900</v>
      </c>
      <c r="D77" s="26">
        <f t="shared" si="0"/>
        <v>70</v>
      </c>
      <c r="E77" s="42">
        <f t="shared" si="1"/>
        <v>-35100</v>
      </c>
    </row>
    <row r="78" spans="1:5" ht="12.75" customHeight="1">
      <c r="A78" s="16" t="s">
        <v>61</v>
      </c>
      <c r="B78" s="25">
        <v>42700</v>
      </c>
      <c r="C78" s="27">
        <v>0</v>
      </c>
      <c r="D78" s="26">
        <v>0</v>
      </c>
      <c r="E78" s="42">
        <f t="shared" si="1"/>
        <v>-42700</v>
      </c>
    </row>
    <row r="79" spans="1:5" ht="12.75" customHeight="1">
      <c r="A79" s="105" t="s">
        <v>209</v>
      </c>
      <c r="B79" s="25">
        <f>SUM(B80:B82)</f>
        <v>414560.57999999996</v>
      </c>
      <c r="C79" s="25">
        <f>SUM(C80:C82)</f>
        <v>0</v>
      </c>
      <c r="D79" s="26">
        <v>0</v>
      </c>
      <c r="E79" s="42">
        <f>C79-B79</f>
        <v>-414560.57999999996</v>
      </c>
    </row>
    <row r="80" spans="1:5" ht="29.25" customHeight="1">
      <c r="A80" s="105" t="s">
        <v>210</v>
      </c>
      <c r="B80" s="25">
        <v>365500</v>
      </c>
      <c r="C80" s="27">
        <v>0</v>
      </c>
      <c r="D80" s="26">
        <f t="shared" si="0"/>
        <v>0</v>
      </c>
      <c r="E80" s="27">
        <f t="shared" si="1"/>
        <v>-365500</v>
      </c>
    </row>
    <row r="81" spans="1:5" ht="25.5" customHeight="1">
      <c r="A81" s="105" t="s">
        <v>211</v>
      </c>
      <c r="B81" s="25">
        <v>24530.29</v>
      </c>
      <c r="C81" s="27">
        <v>0</v>
      </c>
      <c r="D81" s="26">
        <f t="shared" si="0"/>
        <v>0</v>
      </c>
      <c r="E81" s="27">
        <f t="shared" si="1"/>
        <v>-24530.29</v>
      </c>
    </row>
    <row r="82" spans="1:5" ht="23.25" customHeight="1">
      <c r="A82" s="105" t="s">
        <v>212</v>
      </c>
      <c r="B82" s="25">
        <v>24530.29</v>
      </c>
      <c r="C82" s="27">
        <v>0</v>
      </c>
      <c r="D82" s="26">
        <f t="shared" si="0"/>
        <v>0</v>
      </c>
      <c r="E82" s="27">
        <f t="shared" si="1"/>
        <v>-24530.29</v>
      </c>
    </row>
    <row r="83" spans="1:5" ht="29.25" customHeight="1">
      <c r="A83" s="105" t="s">
        <v>168</v>
      </c>
      <c r="B83" s="122">
        <v>0</v>
      </c>
      <c r="C83" s="123">
        <v>0</v>
      </c>
      <c r="D83" s="26" t="str">
        <f t="shared" si="0"/>
        <v>   </v>
      </c>
      <c r="E83" s="125">
        <f t="shared" si="1"/>
        <v>0</v>
      </c>
    </row>
    <row r="84" spans="1:5" ht="20.25" customHeight="1">
      <c r="A84" s="35" t="s">
        <v>17</v>
      </c>
      <c r="B84" s="31">
        <v>8000</v>
      </c>
      <c r="C84" s="31">
        <v>0</v>
      </c>
      <c r="D84" s="26">
        <f t="shared" si="0"/>
        <v>0</v>
      </c>
      <c r="E84" s="42">
        <f t="shared" si="1"/>
        <v>-8000</v>
      </c>
    </row>
    <row r="85" spans="1:5" ht="18" customHeight="1">
      <c r="A85" s="16" t="s">
        <v>41</v>
      </c>
      <c r="B85" s="24">
        <f>B86</f>
        <v>478000</v>
      </c>
      <c r="C85" s="24">
        <f>C86</f>
        <v>130080</v>
      </c>
      <c r="D85" s="26">
        <f t="shared" si="0"/>
        <v>27.21338912133891</v>
      </c>
      <c r="E85" s="42">
        <f t="shared" si="1"/>
        <v>-347920</v>
      </c>
    </row>
    <row r="86" spans="1:5" ht="12.75" customHeight="1">
      <c r="A86" s="16" t="s">
        <v>42</v>
      </c>
      <c r="B86" s="25">
        <v>478000</v>
      </c>
      <c r="C86" s="27">
        <v>130080</v>
      </c>
      <c r="D86" s="26">
        <f t="shared" si="0"/>
        <v>27.21338912133891</v>
      </c>
      <c r="E86" s="42">
        <f t="shared" si="1"/>
        <v>-347920</v>
      </c>
    </row>
    <row r="87" spans="1:5" ht="16.5" customHeight="1">
      <c r="A87" s="16" t="s">
        <v>124</v>
      </c>
      <c r="B87" s="25">
        <f>SUM(B88:B89)</f>
        <v>1307565</v>
      </c>
      <c r="C87" s="25">
        <f>SUM(C88:C89)</f>
        <v>0</v>
      </c>
      <c r="D87" s="26">
        <f t="shared" si="0"/>
        <v>0</v>
      </c>
      <c r="E87" s="42">
        <f t="shared" si="1"/>
        <v>-1307565</v>
      </c>
    </row>
    <row r="88" spans="1:5" ht="16.5" customHeight="1">
      <c r="A88" s="16" t="s">
        <v>43</v>
      </c>
      <c r="B88" s="25">
        <v>12000</v>
      </c>
      <c r="C88" s="25">
        <v>0</v>
      </c>
      <c r="D88" s="26">
        <f>IF(B88=0,"   ",C88/B88*100)</f>
        <v>0</v>
      </c>
      <c r="E88" s="42">
        <f>C88-B88</f>
        <v>-12000</v>
      </c>
    </row>
    <row r="89" spans="1:5" ht="18.75" customHeight="1">
      <c r="A89" s="292" t="s">
        <v>279</v>
      </c>
      <c r="B89" s="25">
        <f>SUM(B90:B93)</f>
        <v>1295565</v>
      </c>
      <c r="C89" s="25">
        <f>SUM(C90:C93)</f>
        <v>0</v>
      </c>
      <c r="D89" s="26">
        <f>IF(B89=0,"   ",C89/B89*100)</f>
        <v>0</v>
      </c>
      <c r="E89" s="42">
        <f>C89-B89</f>
        <v>-1295565</v>
      </c>
    </row>
    <row r="90" spans="1:5" ht="16.5" customHeight="1">
      <c r="A90" s="292" t="s">
        <v>280</v>
      </c>
      <c r="B90" s="25">
        <v>895900</v>
      </c>
      <c r="C90" s="25">
        <v>0</v>
      </c>
      <c r="D90" s="26">
        <f>IF(B90=0,"   ",C90/B90*100)</f>
        <v>0</v>
      </c>
      <c r="E90" s="42">
        <f>C90-B90</f>
        <v>-895900</v>
      </c>
    </row>
    <row r="91" spans="1:5" ht="18" customHeight="1">
      <c r="A91" s="292" t="s">
        <v>281</v>
      </c>
      <c r="B91" s="25">
        <v>9049.49</v>
      </c>
      <c r="C91" s="25">
        <v>0</v>
      </c>
      <c r="D91" s="26">
        <f>IF(B91=0,"   ",C91/B91*100)</f>
        <v>0</v>
      </c>
      <c r="E91" s="42">
        <f>C91-B91</f>
        <v>-9049.49</v>
      </c>
    </row>
    <row r="92" spans="1:5" ht="15.75" customHeight="1">
      <c r="A92" s="292" t="s">
        <v>282</v>
      </c>
      <c r="B92" s="25">
        <v>196600</v>
      </c>
      <c r="C92" s="25">
        <v>0</v>
      </c>
      <c r="D92" s="26">
        <f>IF(B92=0,"   ",C92/B92*100)</f>
        <v>0</v>
      </c>
      <c r="E92" s="42">
        <f>C92-B92</f>
        <v>-196600</v>
      </c>
    </row>
    <row r="93" spans="1:5" ht="12.75" customHeight="1">
      <c r="A93" s="292" t="s">
        <v>283</v>
      </c>
      <c r="B93" s="25">
        <v>194015.51</v>
      </c>
      <c r="C93" s="28">
        <v>0</v>
      </c>
      <c r="D93" s="26">
        <f t="shared" si="0"/>
        <v>0</v>
      </c>
      <c r="E93" s="42">
        <f t="shared" si="1"/>
        <v>-194015.51</v>
      </c>
    </row>
    <row r="94" spans="1:5" ht="22.5" customHeight="1">
      <c r="A94" s="173" t="s">
        <v>15</v>
      </c>
      <c r="B94" s="150">
        <f>SUM(B48,B56,B58,B60,B74,B84,B85,B87,)</f>
        <v>5766606.84</v>
      </c>
      <c r="C94" s="150">
        <f>SUM(C48,C56,C58,C60,C74,C84,C85,C87,)</f>
        <v>1397592.37</v>
      </c>
      <c r="D94" s="141">
        <f>IF(B94=0,"   ",C94/B94*100)</f>
        <v>24.23595727570011</v>
      </c>
      <c r="E94" s="142">
        <f t="shared" si="1"/>
        <v>-4369014.47</v>
      </c>
    </row>
    <row r="95" spans="1:5" s="59" customFormat="1" ht="23.25" customHeight="1">
      <c r="A95" s="80" t="s">
        <v>225</v>
      </c>
      <c r="B95" s="80"/>
      <c r="C95" s="306"/>
      <c r="D95" s="306"/>
      <c r="E95" s="306"/>
    </row>
    <row r="96" spans="1:5" s="59" customFormat="1" ht="18" customHeight="1">
      <c r="A96" s="80" t="s">
        <v>154</v>
      </c>
      <c r="B96" s="80"/>
      <c r="C96" s="309" t="s">
        <v>251</v>
      </c>
      <c r="D96" s="309"/>
      <c r="E96" s="83"/>
    </row>
    <row r="97" spans="1:5" ht="12.75">
      <c r="A97" s="7"/>
      <c r="B97" s="7"/>
      <c r="C97" s="6"/>
      <c r="D97" s="7"/>
      <c r="E97" s="2"/>
    </row>
    <row r="98" spans="1:5" ht="12.75">
      <c r="A98" s="7"/>
      <c r="B98" s="7"/>
      <c r="C98" s="6"/>
      <c r="D98" s="7"/>
      <c r="E98" s="2"/>
    </row>
    <row r="99" spans="1:5" ht="12.75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</sheetData>
  <sheetProtection/>
  <mergeCells count="3">
    <mergeCell ref="A1:E1"/>
    <mergeCell ref="C95:E95"/>
    <mergeCell ref="C96:D96"/>
  </mergeCells>
  <printOptions/>
  <pageMargins left="0.984251968503937" right="0.5905511811023623" top="0.5118110236220472" bottom="0.5118110236220472" header="0.5118110236220472" footer="0.5118110236220472"/>
  <pageSetup fitToHeight="2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3"/>
  <sheetViews>
    <sheetView zoomScalePageLayoutView="0" workbookViewId="0" topLeftCell="A79">
      <selection activeCell="C34" sqref="C34"/>
    </sheetView>
  </sheetViews>
  <sheetFormatPr defaultColWidth="9.00390625" defaultRowHeight="12.75"/>
  <cols>
    <col min="1" max="1" width="107.625" style="0" customWidth="1"/>
    <col min="2" max="2" width="14.50390625" style="0" customWidth="1"/>
    <col min="3" max="3" width="16.875" style="0" customWidth="1"/>
    <col min="4" max="4" width="18.00390625" style="0" customWidth="1"/>
    <col min="5" max="5" width="16.375" style="0" customWidth="1"/>
  </cols>
  <sheetData>
    <row r="1" spans="1:5" ht="17.25">
      <c r="A1" s="308" t="s">
        <v>304</v>
      </c>
      <c r="B1" s="308"/>
      <c r="C1" s="308"/>
      <c r="D1" s="308"/>
      <c r="E1" s="308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256</v>
      </c>
      <c r="C4" s="32" t="s">
        <v>303</v>
      </c>
      <c r="D4" s="19" t="s">
        <v>260</v>
      </c>
      <c r="E4" s="36" t="s">
        <v>258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51" t="s">
        <v>45</v>
      </c>
      <c r="B7" s="149">
        <f>SUM(B8)</f>
        <v>56700</v>
      </c>
      <c r="C7" s="149">
        <f>SUM(C8)</f>
        <v>35175.59</v>
      </c>
      <c r="D7" s="139">
        <f aca="true" t="shared" si="0" ref="D7:D92">IF(B7=0,"   ",C7/B7*100)</f>
        <v>62.038077601410926</v>
      </c>
      <c r="E7" s="140">
        <f aca="true" t="shared" si="1" ref="E7:E93">C7-B7</f>
        <v>-21524.410000000003</v>
      </c>
    </row>
    <row r="8" spans="1:5" ht="12" customHeight="1">
      <c r="A8" s="85" t="s">
        <v>44</v>
      </c>
      <c r="B8" s="84">
        <v>56700</v>
      </c>
      <c r="C8" s="243">
        <v>35175.59</v>
      </c>
      <c r="D8" s="139">
        <f t="shared" si="0"/>
        <v>62.038077601410926</v>
      </c>
      <c r="E8" s="140">
        <f t="shared" si="1"/>
        <v>-21524.410000000003</v>
      </c>
    </row>
    <row r="9" spans="1:5" ht="16.5" customHeight="1">
      <c r="A9" s="151" t="s">
        <v>137</v>
      </c>
      <c r="B9" s="200">
        <f>SUM(B10)</f>
        <v>1082700</v>
      </c>
      <c r="C9" s="200">
        <f>SUM(C10)</f>
        <v>468190.42</v>
      </c>
      <c r="D9" s="139">
        <f t="shared" si="0"/>
        <v>43.242857670638216</v>
      </c>
      <c r="E9" s="140">
        <f t="shared" si="1"/>
        <v>-614509.5800000001</v>
      </c>
    </row>
    <row r="10" spans="1:5" ht="11.25" customHeight="1">
      <c r="A10" s="85" t="s">
        <v>138</v>
      </c>
      <c r="B10" s="201">
        <v>1082700</v>
      </c>
      <c r="C10" s="243">
        <v>468190.42</v>
      </c>
      <c r="D10" s="139">
        <f t="shared" si="0"/>
        <v>43.242857670638216</v>
      </c>
      <c r="E10" s="140">
        <f t="shared" si="1"/>
        <v>-614509.5800000001</v>
      </c>
    </row>
    <row r="11" spans="1:5" ht="12.75">
      <c r="A11" s="85" t="s">
        <v>7</v>
      </c>
      <c r="B11" s="201">
        <f>SUM(B12:B12)</f>
        <v>56400</v>
      </c>
      <c r="C11" s="201">
        <f>SUM(C12:C12)</f>
        <v>36330.82</v>
      </c>
      <c r="D11" s="139">
        <f t="shared" si="0"/>
        <v>64.4163475177305</v>
      </c>
      <c r="E11" s="140">
        <f t="shared" si="1"/>
        <v>-20069.18</v>
      </c>
    </row>
    <row r="12" spans="1:5" ht="16.5" customHeight="1">
      <c r="A12" s="85" t="s">
        <v>26</v>
      </c>
      <c r="B12" s="201">
        <v>56400</v>
      </c>
      <c r="C12" s="243">
        <v>36330.82</v>
      </c>
      <c r="D12" s="139">
        <f t="shared" si="0"/>
        <v>64.4163475177305</v>
      </c>
      <c r="E12" s="140">
        <f t="shared" si="1"/>
        <v>-20069.18</v>
      </c>
    </row>
    <row r="13" spans="1:5" ht="16.5" customHeight="1">
      <c r="A13" s="85" t="s">
        <v>9</v>
      </c>
      <c r="B13" s="201">
        <f>SUM(B14:B15)</f>
        <v>412000</v>
      </c>
      <c r="C13" s="201">
        <f>SUM(C14:C15)</f>
        <v>24820.8</v>
      </c>
      <c r="D13" s="139">
        <f t="shared" si="0"/>
        <v>6.024466019417476</v>
      </c>
      <c r="E13" s="140">
        <f t="shared" si="1"/>
        <v>-387179.2</v>
      </c>
    </row>
    <row r="14" spans="1:5" ht="15" customHeight="1">
      <c r="A14" s="85" t="s">
        <v>27</v>
      </c>
      <c r="B14" s="201">
        <v>177000</v>
      </c>
      <c r="C14" s="243">
        <v>6484.98</v>
      </c>
      <c r="D14" s="139">
        <f t="shared" si="0"/>
        <v>3.663830508474576</v>
      </c>
      <c r="E14" s="140">
        <f t="shared" si="1"/>
        <v>-170515.02</v>
      </c>
    </row>
    <row r="15" spans="1:5" ht="15.75" customHeight="1">
      <c r="A15" s="41" t="s">
        <v>161</v>
      </c>
      <c r="B15" s="201">
        <f>SUM(B16:B17)</f>
        <v>235000</v>
      </c>
      <c r="C15" s="201">
        <f>SUM(C16:C17)</f>
        <v>18335.82</v>
      </c>
      <c r="D15" s="139">
        <f t="shared" si="0"/>
        <v>7.8024765957446816</v>
      </c>
      <c r="E15" s="140">
        <f t="shared" si="1"/>
        <v>-216664.18</v>
      </c>
    </row>
    <row r="16" spans="1:5" ht="14.25" customHeight="1">
      <c r="A16" s="41" t="s">
        <v>162</v>
      </c>
      <c r="B16" s="201">
        <v>29000</v>
      </c>
      <c r="C16" s="243">
        <v>10196.63</v>
      </c>
      <c r="D16" s="139">
        <f t="shared" si="0"/>
        <v>35.16079310344827</v>
      </c>
      <c r="E16" s="140">
        <f t="shared" si="1"/>
        <v>-18803.370000000003</v>
      </c>
    </row>
    <row r="17" spans="1:5" ht="12.75" customHeight="1">
      <c r="A17" s="41" t="s">
        <v>163</v>
      </c>
      <c r="B17" s="201">
        <v>206000</v>
      </c>
      <c r="C17" s="243">
        <v>8139.19</v>
      </c>
      <c r="D17" s="139">
        <f t="shared" si="0"/>
        <v>3.9510631067961164</v>
      </c>
      <c r="E17" s="140">
        <f t="shared" si="1"/>
        <v>-197860.81</v>
      </c>
    </row>
    <row r="18" spans="1:5" ht="12.75" customHeight="1">
      <c r="A18" s="41" t="s">
        <v>197</v>
      </c>
      <c r="B18" s="201">
        <v>0</v>
      </c>
      <c r="C18" s="243">
        <v>600</v>
      </c>
      <c r="D18" s="139" t="str">
        <f t="shared" si="0"/>
        <v>   </v>
      </c>
      <c r="E18" s="140">
        <f t="shared" si="1"/>
        <v>600</v>
      </c>
    </row>
    <row r="19" spans="1:5" ht="13.5" customHeight="1">
      <c r="A19" s="85" t="s">
        <v>88</v>
      </c>
      <c r="B19" s="201">
        <v>0</v>
      </c>
      <c r="C19" s="202">
        <v>0</v>
      </c>
      <c r="D19" s="139" t="str">
        <f t="shared" si="0"/>
        <v>   </v>
      </c>
      <c r="E19" s="140">
        <f t="shared" si="1"/>
        <v>0</v>
      </c>
    </row>
    <row r="20" spans="1:5" ht="24.75" customHeight="1">
      <c r="A20" s="85" t="s">
        <v>28</v>
      </c>
      <c r="B20" s="201">
        <f>B21+B22</f>
        <v>39600</v>
      </c>
      <c r="C20" s="201">
        <f>SUM(C21:C22)</f>
        <v>18995.75</v>
      </c>
      <c r="D20" s="139">
        <f t="shared" si="0"/>
        <v>47.969065656565654</v>
      </c>
      <c r="E20" s="140">
        <f t="shared" si="1"/>
        <v>-20604.25</v>
      </c>
    </row>
    <row r="21" spans="1:5" ht="14.25" customHeight="1">
      <c r="A21" s="41" t="s">
        <v>152</v>
      </c>
      <c r="B21" s="201">
        <v>39600</v>
      </c>
      <c r="C21" s="201">
        <v>18995.75</v>
      </c>
      <c r="D21" s="139">
        <f t="shared" si="0"/>
        <v>47.969065656565654</v>
      </c>
      <c r="E21" s="140">
        <f t="shared" si="1"/>
        <v>-20604.25</v>
      </c>
    </row>
    <row r="22" spans="1:5" ht="12" customHeight="1">
      <c r="A22" s="85" t="s">
        <v>30</v>
      </c>
      <c r="B22" s="201">
        <v>0</v>
      </c>
      <c r="C22" s="202">
        <v>0</v>
      </c>
      <c r="D22" s="139" t="str">
        <f t="shared" si="0"/>
        <v>   </v>
      </c>
      <c r="E22" s="140">
        <f t="shared" si="1"/>
        <v>0</v>
      </c>
    </row>
    <row r="23" spans="1:5" ht="12.75" customHeight="1">
      <c r="A23" s="85" t="s">
        <v>83</v>
      </c>
      <c r="B23" s="201">
        <v>0</v>
      </c>
      <c r="C23" s="202">
        <v>0</v>
      </c>
      <c r="D23" s="139" t="str">
        <f t="shared" si="0"/>
        <v>   </v>
      </c>
      <c r="E23" s="140">
        <f t="shared" si="1"/>
        <v>0</v>
      </c>
    </row>
    <row r="24" spans="1:5" ht="13.5" customHeight="1">
      <c r="A24" s="85" t="s">
        <v>78</v>
      </c>
      <c r="B24" s="201">
        <f>SUM(B25:B25)</f>
        <v>0</v>
      </c>
      <c r="C24" s="201">
        <f>SUM(C25:C25)</f>
        <v>0</v>
      </c>
      <c r="D24" s="139" t="str">
        <f t="shared" si="0"/>
        <v>   </v>
      </c>
      <c r="E24" s="140">
        <f t="shared" si="1"/>
        <v>0</v>
      </c>
    </row>
    <row r="25" spans="1:5" ht="13.5" customHeight="1">
      <c r="A25" s="85" t="s">
        <v>125</v>
      </c>
      <c r="B25" s="201">
        <v>0</v>
      </c>
      <c r="C25" s="201"/>
      <c r="D25" s="139" t="str">
        <f t="shared" si="0"/>
        <v>   </v>
      </c>
      <c r="E25" s="140"/>
    </row>
    <row r="26" spans="1:5" ht="12.75">
      <c r="A26" s="85" t="s">
        <v>32</v>
      </c>
      <c r="B26" s="201">
        <f>B27</f>
        <v>0</v>
      </c>
      <c r="C26" s="201">
        <f>C27</f>
        <v>-17.58</v>
      </c>
      <c r="D26" s="139" t="str">
        <f t="shared" si="0"/>
        <v>   </v>
      </c>
      <c r="E26" s="140">
        <f t="shared" si="1"/>
        <v>-17.58</v>
      </c>
    </row>
    <row r="27" spans="1:5" ht="12.75">
      <c r="A27" s="16" t="s">
        <v>46</v>
      </c>
      <c r="B27" s="201">
        <v>0</v>
      </c>
      <c r="C27" s="201">
        <v>-17.58</v>
      </c>
      <c r="D27" s="139" t="str">
        <f t="shared" si="0"/>
        <v>   </v>
      </c>
      <c r="E27" s="140">
        <f t="shared" si="1"/>
        <v>-17.58</v>
      </c>
    </row>
    <row r="28" spans="1:5" ht="12.75">
      <c r="A28" s="85" t="s">
        <v>31</v>
      </c>
      <c r="B28" s="201">
        <v>0</v>
      </c>
      <c r="C28" s="201">
        <v>0</v>
      </c>
      <c r="D28" s="139" t="str">
        <f t="shared" si="0"/>
        <v>   </v>
      </c>
      <c r="E28" s="140">
        <f t="shared" si="1"/>
        <v>0</v>
      </c>
    </row>
    <row r="29" spans="1:5" ht="18" customHeight="1">
      <c r="A29" s="157" t="s">
        <v>10</v>
      </c>
      <c r="B29" s="175">
        <f>B7+B9+B11+B13+B19+B20+B24+B26+B28+B18</f>
        <v>1647400</v>
      </c>
      <c r="C29" s="175">
        <f>C7+C9+C11+C13+C19+C20+C24+C26+C28+C18</f>
        <v>584095.8</v>
      </c>
      <c r="D29" s="141">
        <f t="shared" si="0"/>
        <v>35.455614908340415</v>
      </c>
      <c r="E29" s="142">
        <f t="shared" si="1"/>
        <v>-1063304.2</v>
      </c>
    </row>
    <row r="30" spans="1:5" ht="18" customHeight="1">
      <c r="A30" s="158" t="s">
        <v>140</v>
      </c>
      <c r="B30" s="189">
        <f>SUM(B31:B34,B37,B38,B41,B42,B43)</f>
        <v>5096267.9</v>
      </c>
      <c r="C30" s="189">
        <f>SUM(C31:C34,C37,C38,C41,C42,C43)</f>
        <v>1816795</v>
      </c>
      <c r="D30" s="141">
        <f t="shared" si="0"/>
        <v>35.64951913144127</v>
      </c>
      <c r="E30" s="142">
        <f t="shared" si="1"/>
        <v>-3279472.9000000004</v>
      </c>
    </row>
    <row r="31" spans="1:5" ht="16.5" customHeight="1">
      <c r="A31" s="159" t="s">
        <v>34</v>
      </c>
      <c r="B31" s="160">
        <v>3082600</v>
      </c>
      <c r="C31" s="243">
        <v>1541320</v>
      </c>
      <c r="D31" s="154">
        <f t="shared" si="0"/>
        <v>50.00064880295854</v>
      </c>
      <c r="E31" s="155">
        <f t="shared" si="1"/>
        <v>-1541280</v>
      </c>
    </row>
    <row r="32" spans="1:5" ht="16.5" customHeight="1">
      <c r="A32" s="17" t="s">
        <v>232</v>
      </c>
      <c r="B32" s="160">
        <v>0</v>
      </c>
      <c r="C32" s="243">
        <v>0</v>
      </c>
      <c r="D32" s="154" t="str">
        <f>IF(B32=0,"   ",C32/B32*100)</f>
        <v>   </v>
      </c>
      <c r="E32" s="155">
        <f>C32-B32</f>
        <v>0</v>
      </c>
    </row>
    <row r="33" spans="1:5" ht="27" customHeight="1">
      <c r="A33" s="156" t="s">
        <v>51</v>
      </c>
      <c r="B33" s="201">
        <v>90300</v>
      </c>
      <c r="C33" s="243">
        <v>46000</v>
      </c>
      <c r="D33" s="154">
        <f t="shared" si="0"/>
        <v>50.94130675526024</v>
      </c>
      <c r="E33" s="155">
        <f t="shared" si="1"/>
        <v>-44300</v>
      </c>
    </row>
    <row r="34" spans="1:5" ht="27" customHeight="1">
      <c r="A34" s="156" t="s">
        <v>148</v>
      </c>
      <c r="B34" s="201">
        <f>SUM(B35:B36)</f>
        <v>6700</v>
      </c>
      <c r="C34" s="201">
        <f>SUM(C35:C36)</f>
        <v>100</v>
      </c>
      <c r="D34" s="154">
        <f t="shared" si="0"/>
        <v>1.4925373134328357</v>
      </c>
      <c r="E34" s="155">
        <f t="shared" si="1"/>
        <v>-6600</v>
      </c>
    </row>
    <row r="35" spans="1:5" ht="17.25" customHeight="1">
      <c r="A35" s="109" t="s">
        <v>164</v>
      </c>
      <c r="B35" s="201">
        <v>100</v>
      </c>
      <c r="C35" s="201">
        <v>100</v>
      </c>
      <c r="D35" s="154">
        <f t="shared" si="0"/>
        <v>100</v>
      </c>
      <c r="E35" s="155">
        <f t="shared" si="1"/>
        <v>0</v>
      </c>
    </row>
    <row r="36" spans="1:5" ht="27" customHeight="1">
      <c r="A36" s="109" t="s">
        <v>165</v>
      </c>
      <c r="B36" s="201">
        <v>6600</v>
      </c>
      <c r="C36" s="201">
        <v>0</v>
      </c>
      <c r="D36" s="154">
        <f>IF(B36=0,"   ",C36/B36*100)</f>
        <v>0</v>
      </c>
      <c r="E36" s="155">
        <f>C36-B36</f>
        <v>-6600</v>
      </c>
    </row>
    <row r="37" spans="1:5" ht="54.75" customHeight="1">
      <c r="A37" s="16" t="s">
        <v>241</v>
      </c>
      <c r="B37" s="201">
        <v>963800</v>
      </c>
      <c r="C37" s="201">
        <v>0</v>
      </c>
      <c r="D37" s="154">
        <f>IF(B37=0,"   ",C37/B37*100)</f>
        <v>0</v>
      </c>
      <c r="E37" s="155">
        <f>C37-B37</f>
        <v>-963800</v>
      </c>
    </row>
    <row r="38" spans="1:5" ht="17.25" customHeight="1">
      <c r="A38" s="156" t="s">
        <v>55</v>
      </c>
      <c r="B38" s="201">
        <f>B39+B40</f>
        <v>930500</v>
      </c>
      <c r="C38" s="201">
        <f>C39+C40</f>
        <v>207000</v>
      </c>
      <c r="D38" s="154">
        <f t="shared" si="0"/>
        <v>22.246104245029557</v>
      </c>
      <c r="E38" s="155">
        <f t="shared" si="1"/>
        <v>-723500</v>
      </c>
    </row>
    <row r="39" spans="1:5" s="7" customFormat="1" ht="14.25" customHeight="1">
      <c r="A39" s="46" t="s">
        <v>109</v>
      </c>
      <c r="B39" s="201">
        <v>670000</v>
      </c>
      <c r="C39" s="201">
        <v>207000</v>
      </c>
      <c r="D39" s="47">
        <f t="shared" si="0"/>
        <v>30.895522388059703</v>
      </c>
      <c r="E39" s="176">
        <f t="shared" si="1"/>
        <v>-463000</v>
      </c>
    </row>
    <row r="40" spans="1:5" s="7" customFormat="1" ht="14.25" customHeight="1">
      <c r="A40" s="46" t="s">
        <v>189</v>
      </c>
      <c r="B40" s="201">
        <v>260500</v>
      </c>
      <c r="C40" s="201">
        <v>0</v>
      </c>
      <c r="D40" s="47">
        <f t="shared" si="0"/>
        <v>0</v>
      </c>
      <c r="E40" s="176">
        <f t="shared" si="1"/>
        <v>-260500</v>
      </c>
    </row>
    <row r="41" spans="1:5" ht="39" customHeight="1">
      <c r="A41" s="156" t="s">
        <v>103</v>
      </c>
      <c r="B41" s="201">
        <v>0</v>
      </c>
      <c r="C41" s="243">
        <v>0</v>
      </c>
      <c r="D41" s="154" t="str">
        <f t="shared" si="0"/>
        <v>   </v>
      </c>
      <c r="E41" s="155">
        <f t="shared" si="1"/>
        <v>0</v>
      </c>
    </row>
    <row r="42" spans="1:5" ht="18" customHeight="1">
      <c r="A42" s="16" t="s">
        <v>171</v>
      </c>
      <c r="B42" s="201">
        <v>0</v>
      </c>
      <c r="C42" s="243">
        <v>0</v>
      </c>
      <c r="D42" s="154" t="str">
        <f t="shared" si="0"/>
        <v>   </v>
      </c>
      <c r="E42" s="155">
        <f t="shared" si="1"/>
        <v>0</v>
      </c>
    </row>
    <row r="43" spans="1:5" ht="15.75" customHeight="1">
      <c r="A43" s="16" t="s">
        <v>200</v>
      </c>
      <c r="B43" s="201">
        <v>22367.9</v>
      </c>
      <c r="C43" s="201">
        <v>22375</v>
      </c>
      <c r="D43" s="154">
        <f t="shared" si="0"/>
        <v>100.0317419158705</v>
      </c>
      <c r="E43" s="155">
        <f t="shared" si="1"/>
        <v>7.099999999998545</v>
      </c>
    </row>
    <row r="44" spans="1:5" ht="27" customHeight="1">
      <c r="A44" s="157" t="s">
        <v>11</v>
      </c>
      <c r="B44" s="150">
        <f>SUM(B29,B30,)</f>
        <v>6743667.9</v>
      </c>
      <c r="C44" s="150">
        <f>SUM(C29,C30,)</f>
        <v>2400890.8</v>
      </c>
      <c r="D44" s="141">
        <f t="shared" si="0"/>
        <v>35.602150574467046</v>
      </c>
      <c r="E44" s="142">
        <f t="shared" si="1"/>
        <v>-4342777.100000001</v>
      </c>
    </row>
    <row r="45" spans="1:5" ht="20.25" customHeight="1">
      <c r="A45" s="30"/>
      <c r="B45" s="160"/>
      <c r="C45" s="152"/>
      <c r="D45" s="154" t="str">
        <f t="shared" si="0"/>
        <v>   </v>
      </c>
      <c r="E45" s="155">
        <f t="shared" si="1"/>
        <v>0</v>
      </c>
    </row>
    <row r="46" spans="1:5" ht="12.75">
      <c r="A46" s="161" t="s">
        <v>12</v>
      </c>
      <c r="B46" s="150"/>
      <c r="C46" s="162"/>
      <c r="D46" s="154" t="str">
        <f t="shared" si="0"/>
        <v>   </v>
      </c>
      <c r="E46" s="155">
        <f t="shared" si="1"/>
        <v>0</v>
      </c>
    </row>
    <row r="47" spans="1:5" ht="19.5" customHeight="1">
      <c r="A47" s="156" t="s">
        <v>35</v>
      </c>
      <c r="B47" s="152">
        <f>SUM(B48,B51,B52)</f>
        <v>1314500</v>
      </c>
      <c r="C47" s="152">
        <f>SUM(C48,C51,C52)</f>
        <v>521744.52</v>
      </c>
      <c r="D47" s="154">
        <f t="shared" si="0"/>
        <v>39.69148117154812</v>
      </c>
      <c r="E47" s="155">
        <f t="shared" si="1"/>
        <v>-792755.48</v>
      </c>
    </row>
    <row r="48" spans="1:5" ht="13.5" customHeight="1">
      <c r="A48" s="156" t="s">
        <v>36</v>
      </c>
      <c r="B48" s="152">
        <v>1154000</v>
      </c>
      <c r="C48" s="152">
        <v>521744.52</v>
      </c>
      <c r="D48" s="154">
        <f t="shared" si="0"/>
        <v>45.21183015597921</v>
      </c>
      <c r="E48" s="155">
        <f t="shared" si="1"/>
        <v>-632255.48</v>
      </c>
    </row>
    <row r="49" spans="1:5" ht="12.75">
      <c r="A49" s="156" t="s">
        <v>121</v>
      </c>
      <c r="B49" s="152">
        <v>740399</v>
      </c>
      <c r="C49" s="162">
        <v>385114.66</v>
      </c>
      <c r="D49" s="154">
        <f t="shared" si="0"/>
        <v>52.01447597849267</v>
      </c>
      <c r="E49" s="155">
        <f t="shared" si="1"/>
        <v>-355284.34</v>
      </c>
    </row>
    <row r="50" spans="1:5" ht="12.75">
      <c r="A50" s="85" t="s">
        <v>293</v>
      </c>
      <c r="B50" s="152">
        <v>100</v>
      </c>
      <c r="C50" s="162">
        <v>0</v>
      </c>
      <c r="D50" s="154">
        <f>IF(B50=0,"   ",C50/B50*100)</f>
        <v>0</v>
      </c>
      <c r="E50" s="155">
        <f>C50-B50</f>
        <v>-100</v>
      </c>
    </row>
    <row r="51" spans="1:5" ht="12.75">
      <c r="A51" s="156" t="s">
        <v>95</v>
      </c>
      <c r="B51" s="152">
        <v>500</v>
      </c>
      <c r="C51" s="153">
        <v>0</v>
      </c>
      <c r="D51" s="154">
        <f t="shared" si="0"/>
        <v>0</v>
      </c>
      <c r="E51" s="155">
        <f t="shared" si="1"/>
        <v>-500</v>
      </c>
    </row>
    <row r="52" spans="1:5" ht="12.75">
      <c r="A52" s="41" t="s">
        <v>52</v>
      </c>
      <c r="B52" s="153">
        <f>SUM(B53+B54)</f>
        <v>160000</v>
      </c>
      <c r="C52" s="153">
        <f>SUM(C53+C54)</f>
        <v>0</v>
      </c>
      <c r="D52" s="154">
        <f>IF(B52=0,"   ",C52/B52*100)</f>
        <v>0</v>
      </c>
      <c r="E52" s="155">
        <f>C52-B52</f>
        <v>-160000</v>
      </c>
    </row>
    <row r="53" spans="1:5" ht="26.25">
      <c r="A53" s="105" t="s">
        <v>252</v>
      </c>
      <c r="B53" s="152">
        <v>10000</v>
      </c>
      <c r="C53" s="153">
        <v>0</v>
      </c>
      <c r="D53" s="154">
        <f>IF(B53=0,"   ",C53/B53*100)</f>
        <v>0</v>
      </c>
      <c r="E53" s="155">
        <f>C53-B53</f>
        <v>-10000</v>
      </c>
    </row>
    <row r="54" spans="1:5" ht="12.75">
      <c r="A54" s="105" t="s">
        <v>269</v>
      </c>
      <c r="B54" s="152">
        <v>150000</v>
      </c>
      <c r="C54" s="153">
        <v>0</v>
      </c>
      <c r="D54" s="154">
        <f>IF(B54=0,"   ",C54/B54*100)</f>
        <v>0</v>
      </c>
      <c r="E54" s="155">
        <f>C54-B54</f>
        <v>-150000</v>
      </c>
    </row>
    <row r="55" spans="1:5" ht="18.75" customHeight="1">
      <c r="A55" s="156" t="s">
        <v>49</v>
      </c>
      <c r="B55" s="153">
        <f>SUM(B56)</f>
        <v>90300</v>
      </c>
      <c r="C55" s="153">
        <f>SUM(C56)</f>
        <v>41483.15</v>
      </c>
      <c r="D55" s="154">
        <f t="shared" si="0"/>
        <v>45.93925802879291</v>
      </c>
      <c r="E55" s="155">
        <f t="shared" si="1"/>
        <v>-48816.85</v>
      </c>
    </row>
    <row r="56" spans="1:5" ht="13.5" customHeight="1">
      <c r="A56" s="46" t="s">
        <v>107</v>
      </c>
      <c r="B56" s="152">
        <v>90300</v>
      </c>
      <c r="C56" s="153">
        <v>41483.15</v>
      </c>
      <c r="D56" s="154">
        <f t="shared" si="0"/>
        <v>45.93925802879291</v>
      </c>
      <c r="E56" s="155">
        <f t="shared" si="1"/>
        <v>-48816.85</v>
      </c>
    </row>
    <row r="57" spans="1:5" ht="17.25" customHeight="1">
      <c r="A57" s="156" t="s">
        <v>37</v>
      </c>
      <c r="B57" s="152">
        <f>SUM(B58)</f>
        <v>400</v>
      </c>
      <c r="C57" s="152">
        <f>SUM(C58)</f>
        <v>400</v>
      </c>
      <c r="D57" s="154">
        <f t="shared" si="0"/>
        <v>100</v>
      </c>
      <c r="E57" s="155">
        <f t="shared" si="1"/>
        <v>0</v>
      </c>
    </row>
    <row r="58" spans="1:5" ht="15" customHeight="1">
      <c r="A58" s="75" t="s">
        <v>128</v>
      </c>
      <c r="B58" s="152">
        <v>400</v>
      </c>
      <c r="C58" s="153">
        <v>400</v>
      </c>
      <c r="D58" s="154">
        <f t="shared" si="0"/>
        <v>100</v>
      </c>
      <c r="E58" s="155">
        <f t="shared" si="1"/>
        <v>0</v>
      </c>
    </row>
    <row r="59" spans="1:5" ht="15.75" customHeight="1">
      <c r="A59" s="156" t="s">
        <v>38</v>
      </c>
      <c r="B59" s="152">
        <f>B63+B60+B71</f>
        <v>2898894.79</v>
      </c>
      <c r="C59" s="152">
        <f>C63+C60+C71</f>
        <v>272337.56</v>
      </c>
      <c r="D59" s="154">
        <f t="shared" si="0"/>
        <v>9.394530665253981</v>
      </c>
      <c r="E59" s="155">
        <f t="shared" si="1"/>
        <v>-2626557.23</v>
      </c>
    </row>
    <row r="60" spans="1:5" ht="15.75" customHeight="1">
      <c r="A60" s="75" t="s">
        <v>166</v>
      </c>
      <c r="B60" s="25">
        <f>SUM(B61+B62)</f>
        <v>6600</v>
      </c>
      <c r="C60" s="25">
        <f>SUM(C61+C62)</f>
        <v>0</v>
      </c>
      <c r="D60" s="154">
        <f>IF(B60=0,"   ",C60/B60*100)</f>
        <v>0</v>
      </c>
      <c r="E60" s="155">
        <f>C60-B60</f>
        <v>-6600</v>
      </c>
    </row>
    <row r="61" spans="1:5" ht="15.75" customHeight="1">
      <c r="A61" s="75" t="s">
        <v>167</v>
      </c>
      <c r="B61" s="25">
        <v>6600</v>
      </c>
      <c r="C61" s="152">
        <v>0</v>
      </c>
      <c r="D61" s="154">
        <f>IF(B61=0,"   ",C61/B61*100)</f>
        <v>0</v>
      </c>
      <c r="E61" s="155">
        <f>C61-B61</f>
        <v>-6600</v>
      </c>
    </row>
    <row r="62" spans="1:5" ht="15.75" customHeight="1">
      <c r="A62" s="75" t="s">
        <v>190</v>
      </c>
      <c r="B62" s="25">
        <v>0</v>
      </c>
      <c r="C62" s="152">
        <v>0</v>
      </c>
      <c r="D62" s="154"/>
      <c r="E62" s="155"/>
    </row>
    <row r="63" spans="1:5" ht="12.75">
      <c r="A63" s="164" t="s">
        <v>131</v>
      </c>
      <c r="B63" s="152">
        <f>SUM(B64:B70)</f>
        <v>2842294.79</v>
      </c>
      <c r="C63" s="152">
        <f>SUM(C64:C70)</f>
        <v>272337.56</v>
      </c>
      <c r="D63" s="154">
        <f t="shared" si="0"/>
        <v>9.581608528368022</v>
      </c>
      <c r="E63" s="155">
        <f t="shared" si="1"/>
        <v>-2569957.23</v>
      </c>
    </row>
    <row r="64" spans="1:5" ht="21.75" customHeight="1">
      <c r="A64" s="75" t="s">
        <v>149</v>
      </c>
      <c r="B64" s="152">
        <v>100000</v>
      </c>
      <c r="C64" s="152">
        <v>42337.56</v>
      </c>
      <c r="D64" s="154">
        <f t="shared" si="0"/>
        <v>42.337559999999996</v>
      </c>
      <c r="E64" s="155">
        <f t="shared" si="1"/>
        <v>-57662.44</v>
      </c>
    </row>
    <row r="65" spans="1:5" ht="30.75" customHeight="1">
      <c r="A65" s="71" t="s">
        <v>262</v>
      </c>
      <c r="B65" s="152">
        <v>926894.79</v>
      </c>
      <c r="C65" s="152">
        <v>0</v>
      </c>
      <c r="D65" s="154">
        <f t="shared" si="0"/>
        <v>0</v>
      </c>
      <c r="E65" s="155">
        <f t="shared" si="1"/>
        <v>-926894.79</v>
      </c>
    </row>
    <row r="66" spans="1:5" ht="30" customHeight="1">
      <c r="A66" s="71" t="s">
        <v>263</v>
      </c>
      <c r="B66" s="152">
        <v>0</v>
      </c>
      <c r="C66" s="152">
        <v>0</v>
      </c>
      <c r="D66" s="154" t="str">
        <f t="shared" si="0"/>
        <v>   </v>
      </c>
      <c r="E66" s="155">
        <f t="shared" si="1"/>
        <v>0</v>
      </c>
    </row>
    <row r="67" spans="1:5" ht="26.25" customHeight="1">
      <c r="A67" s="71" t="s">
        <v>264</v>
      </c>
      <c r="B67" s="152">
        <v>963800</v>
      </c>
      <c r="C67" s="152">
        <v>0</v>
      </c>
      <c r="D67" s="154">
        <f t="shared" si="0"/>
        <v>0</v>
      </c>
      <c r="E67" s="155">
        <f t="shared" si="1"/>
        <v>-963800</v>
      </c>
    </row>
    <row r="68" spans="1:5" ht="27" customHeight="1">
      <c r="A68" s="71" t="s">
        <v>265</v>
      </c>
      <c r="B68" s="152">
        <v>107100</v>
      </c>
      <c r="C68" s="152">
        <v>0</v>
      </c>
      <c r="D68" s="154">
        <f t="shared" si="0"/>
        <v>0</v>
      </c>
      <c r="E68" s="155">
        <f t="shared" si="1"/>
        <v>-107100</v>
      </c>
    </row>
    <row r="69" spans="1:5" ht="24" customHeight="1">
      <c r="A69" s="71" t="s">
        <v>266</v>
      </c>
      <c r="B69" s="152">
        <v>670000</v>
      </c>
      <c r="C69" s="152">
        <v>207000</v>
      </c>
      <c r="D69" s="154">
        <f>IF(B69=0,"   ",C69/B69*100)</f>
        <v>30.895522388059703</v>
      </c>
      <c r="E69" s="155">
        <f>C69-B69</f>
        <v>-463000</v>
      </c>
    </row>
    <row r="70" spans="1:5" ht="31.5" customHeight="1">
      <c r="A70" s="71" t="s">
        <v>267</v>
      </c>
      <c r="B70" s="152">
        <v>74500</v>
      </c>
      <c r="C70" s="152">
        <v>23000</v>
      </c>
      <c r="D70" s="154">
        <f t="shared" si="0"/>
        <v>30.87248322147651</v>
      </c>
      <c r="E70" s="155">
        <f t="shared" si="1"/>
        <v>-51500</v>
      </c>
    </row>
    <row r="71" spans="1:5" ht="23.25" customHeight="1">
      <c r="A71" s="96" t="s">
        <v>178</v>
      </c>
      <c r="B71" s="152">
        <f>SUM(B72)</f>
        <v>50000</v>
      </c>
      <c r="C71" s="152">
        <f>SUM(C72)</f>
        <v>0</v>
      </c>
      <c r="D71" s="154">
        <f>IF(B71=0,"   ",C71/B71*100)</f>
        <v>0</v>
      </c>
      <c r="E71" s="155">
        <f>C71-B71</f>
        <v>-50000</v>
      </c>
    </row>
    <row r="72" spans="1:5" ht="23.25" customHeight="1">
      <c r="A72" s="75" t="s">
        <v>179</v>
      </c>
      <c r="B72" s="152">
        <v>50000</v>
      </c>
      <c r="C72" s="152">
        <v>0</v>
      </c>
      <c r="D72" s="154">
        <f>IF(B72=0,"   ",C72/B72*100)</f>
        <v>0</v>
      </c>
      <c r="E72" s="155">
        <f>C72-B72</f>
        <v>-50000</v>
      </c>
    </row>
    <row r="73" spans="1:5" ht="17.25" customHeight="1">
      <c r="A73" s="156" t="s">
        <v>13</v>
      </c>
      <c r="B73" s="152">
        <f>SUM(B79,B74)</f>
        <v>731431.6599999999</v>
      </c>
      <c r="C73" s="152">
        <f>C74+C79</f>
        <v>87752.19</v>
      </c>
      <c r="D73" s="154">
        <f t="shared" si="0"/>
        <v>11.997319066008165</v>
      </c>
      <c r="E73" s="155">
        <f t="shared" si="1"/>
        <v>-643679.47</v>
      </c>
    </row>
    <row r="74" spans="1:5" ht="15.75" customHeight="1">
      <c r="A74" s="156" t="s">
        <v>90</v>
      </c>
      <c r="B74" s="152">
        <f>B75</f>
        <v>0</v>
      </c>
      <c r="C74" s="152">
        <f>C75</f>
        <v>0</v>
      </c>
      <c r="D74" s="154" t="str">
        <f t="shared" si="0"/>
        <v>   </v>
      </c>
      <c r="E74" s="155">
        <f t="shared" si="1"/>
        <v>0</v>
      </c>
    </row>
    <row r="75" spans="1:5" ht="15.75" customHeight="1">
      <c r="A75" s="105" t="s">
        <v>207</v>
      </c>
      <c r="B75" s="152">
        <f>B77+B76+B78</f>
        <v>0</v>
      </c>
      <c r="C75" s="152">
        <f>C77+C76+C78</f>
        <v>0</v>
      </c>
      <c r="D75" s="154" t="str">
        <f>IF(B75=0,"   ",C75/B75*100)</f>
        <v>   </v>
      </c>
      <c r="E75" s="155">
        <f>C75-B75</f>
        <v>0</v>
      </c>
    </row>
    <row r="76" spans="1:5" ht="27.75" customHeight="1">
      <c r="A76" s="105" t="s">
        <v>188</v>
      </c>
      <c r="B76" s="152">
        <v>0</v>
      </c>
      <c r="C76" s="152">
        <v>0</v>
      </c>
      <c r="D76" s="154" t="str">
        <f t="shared" si="0"/>
        <v>   </v>
      </c>
      <c r="E76" s="155">
        <f t="shared" si="1"/>
        <v>0</v>
      </c>
    </row>
    <row r="77" spans="1:5" ht="27.75" customHeight="1">
      <c r="A77" s="105" t="s">
        <v>201</v>
      </c>
      <c r="B77" s="152">
        <v>0</v>
      </c>
      <c r="C77" s="152">
        <v>0</v>
      </c>
      <c r="D77" s="154" t="str">
        <f t="shared" si="0"/>
        <v>   </v>
      </c>
      <c r="E77" s="155">
        <f t="shared" si="1"/>
        <v>0</v>
      </c>
    </row>
    <row r="78" spans="1:5" ht="27.75" customHeight="1">
      <c r="A78" s="105" t="s">
        <v>213</v>
      </c>
      <c r="B78" s="152">
        <v>0</v>
      </c>
      <c r="C78" s="152">
        <v>0</v>
      </c>
      <c r="D78" s="154" t="str">
        <f t="shared" si="0"/>
        <v>   </v>
      </c>
      <c r="E78" s="155">
        <f t="shared" si="1"/>
        <v>0</v>
      </c>
    </row>
    <row r="79" spans="1:5" ht="12.75">
      <c r="A79" s="156" t="s">
        <v>58</v>
      </c>
      <c r="B79" s="152">
        <f>B80+B81+B82+B83</f>
        <v>731431.6599999999</v>
      </c>
      <c r="C79" s="152">
        <f>C80+C81+C82+C83</f>
        <v>87752.19</v>
      </c>
      <c r="D79" s="154">
        <f t="shared" si="0"/>
        <v>11.997319066008165</v>
      </c>
      <c r="E79" s="155">
        <f t="shared" si="1"/>
        <v>-643679.47</v>
      </c>
    </row>
    <row r="80" spans="1:5" ht="12.75">
      <c r="A80" s="156" t="s">
        <v>56</v>
      </c>
      <c r="B80" s="152">
        <v>375700</v>
      </c>
      <c r="C80" s="152">
        <v>87752.19</v>
      </c>
      <c r="D80" s="154">
        <f t="shared" si="0"/>
        <v>23.356984295980837</v>
      </c>
      <c r="E80" s="155">
        <f t="shared" si="1"/>
        <v>-287947.81</v>
      </c>
    </row>
    <row r="81" spans="1:5" ht="12.75">
      <c r="A81" s="156" t="s">
        <v>59</v>
      </c>
      <c r="B81" s="152">
        <v>5731.66</v>
      </c>
      <c r="C81" s="153">
        <v>0</v>
      </c>
      <c r="D81" s="154">
        <f t="shared" si="0"/>
        <v>0</v>
      </c>
      <c r="E81" s="155">
        <f t="shared" si="1"/>
        <v>-5731.66</v>
      </c>
    </row>
    <row r="82" spans="1:5" ht="26.25">
      <c r="A82" s="105" t="s">
        <v>168</v>
      </c>
      <c r="B82" s="152">
        <v>0</v>
      </c>
      <c r="C82" s="153">
        <v>0</v>
      </c>
      <c r="D82" s="154" t="str">
        <f>IF(B82=0,"   ",C82/B82*100)</f>
        <v>   </v>
      </c>
      <c r="E82" s="155">
        <f>C82-B82</f>
        <v>0</v>
      </c>
    </row>
    <row r="83" spans="1:5" ht="12.75">
      <c r="A83" s="105" t="s">
        <v>207</v>
      </c>
      <c r="B83" s="152">
        <f>B85+B84+B86</f>
        <v>350000</v>
      </c>
      <c r="C83" s="152">
        <f>C85+C84+C86</f>
        <v>0</v>
      </c>
      <c r="D83" s="154">
        <f>IF(B83=0,"   ",C83/B83*100)</f>
        <v>0</v>
      </c>
      <c r="E83" s="155">
        <f>C83-B83</f>
        <v>-350000</v>
      </c>
    </row>
    <row r="84" spans="1:5" ht="26.25">
      <c r="A84" s="105" t="s">
        <v>188</v>
      </c>
      <c r="B84" s="152">
        <v>260500</v>
      </c>
      <c r="C84" s="153">
        <v>0</v>
      </c>
      <c r="D84" s="154">
        <f>IF(B84=0,"   ",C84/B84*100)</f>
        <v>0</v>
      </c>
      <c r="E84" s="155">
        <f>C84-B84</f>
        <v>-260500</v>
      </c>
    </row>
    <row r="85" spans="1:5" ht="26.25">
      <c r="A85" s="105" t="s">
        <v>201</v>
      </c>
      <c r="B85" s="152">
        <v>67125</v>
      </c>
      <c r="C85" s="153">
        <v>0</v>
      </c>
      <c r="D85" s="154">
        <f>IF(B85=0,"   ",C85/B85*100)</f>
        <v>0</v>
      </c>
      <c r="E85" s="155">
        <f>C85-B85</f>
        <v>-67125</v>
      </c>
    </row>
    <row r="86" spans="1:5" ht="26.25">
      <c r="A86" s="105" t="s">
        <v>213</v>
      </c>
      <c r="B86" s="152">
        <v>22375</v>
      </c>
      <c r="C86" s="153">
        <v>0</v>
      </c>
      <c r="D86" s="154">
        <f>IF(B86=0,"   ",C86/B86*100)</f>
        <v>0</v>
      </c>
      <c r="E86" s="155">
        <f>C86-B86</f>
        <v>-22375</v>
      </c>
    </row>
    <row r="87" spans="1:5" ht="12.75" customHeight="1">
      <c r="A87" s="16" t="s">
        <v>94</v>
      </c>
      <c r="B87" s="152">
        <v>0</v>
      </c>
      <c r="C87" s="153">
        <v>0</v>
      </c>
      <c r="D87" s="154" t="str">
        <f t="shared" si="0"/>
        <v>   </v>
      </c>
      <c r="E87" s="155">
        <f t="shared" si="1"/>
        <v>0</v>
      </c>
    </row>
    <row r="88" spans="1:5" ht="12.75" customHeight="1">
      <c r="A88" s="165" t="s">
        <v>17</v>
      </c>
      <c r="B88" s="166">
        <v>8000</v>
      </c>
      <c r="C88" s="166">
        <v>0</v>
      </c>
      <c r="D88" s="167">
        <f t="shared" si="0"/>
        <v>0</v>
      </c>
      <c r="E88" s="168">
        <f t="shared" si="1"/>
        <v>-8000</v>
      </c>
    </row>
    <row r="89" spans="1:5" ht="19.5" customHeight="1">
      <c r="A89" s="169" t="s">
        <v>41</v>
      </c>
      <c r="B89" s="170">
        <f>B90</f>
        <v>1858800</v>
      </c>
      <c r="C89" s="170">
        <f>C90</f>
        <v>1015230.75</v>
      </c>
      <c r="D89" s="167">
        <f t="shared" si="0"/>
        <v>54.617535506778566</v>
      </c>
      <c r="E89" s="168">
        <f t="shared" si="1"/>
        <v>-843569.25</v>
      </c>
    </row>
    <row r="90" spans="1:5" ht="15" customHeight="1">
      <c r="A90" s="169" t="s">
        <v>42</v>
      </c>
      <c r="B90" s="166">
        <v>1858800</v>
      </c>
      <c r="C90" s="171">
        <v>1015230.75</v>
      </c>
      <c r="D90" s="167">
        <f t="shared" si="0"/>
        <v>54.617535506778566</v>
      </c>
      <c r="E90" s="168">
        <f t="shared" si="1"/>
        <v>-843569.25</v>
      </c>
    </row>
    <row r="91" spans="1:5" ht="14.25" customHeight="1">
      <c r="A91" s="169" t="s">
        <v>124</v>
      </c>
      <c r="B91" s="166">
        <f>SUM(B92,)</f>
        <v>20000</v>
      </c>
      <c r="C91" s="166">
        <f>SUM(C92,)</f>
        <v>0</v>
      </c>
      <c r="D91" s="167">
        <f t="shared" si="0"/>
        <v>0</v>
      </c>
      <c r="E91" s="168">
        <f t="shared" si="1"/>
        <v>-20000</v>
      </c>
    </row>
    <row r="92" spans="1:5" ht="12.75">
      <c r="A92" s="169" t="s">
        <v>43</v>
      </c>
      <c r="B92" s="166">
        <v>20000</v>
      </c>
      <c r="C92" s="172">
        <v>0</v>
      </c>
      <c r="D92" s="167">
        <f t="shared" si="0"/>
        <v>0</v>
      </c>
      <c r="E92" s="168">
        <f t="shared" si="1"/>
        <v>-20000</v>
      </c>
    </row>
    <row r="93" spans="1:5" ht="23.25" customHeight="1">
      <c r="A93" s="157" t="s">
        <v>15</v>
      </c>
      <c r="B93" s="150">
        <f>SUM(B47,B55,B57,B59,B73,B88,B89,B91,)</f>
        <v>6922326.45</v>
      </c>
      <c r="C93" s="150">
        <f>SUM(C47,C55,C57,C59,C73,C88,C89,C91,)</f>
        <v>1938948.17</v>
      </c>
      <c r="D93" s="141">
        <f>IF(B93=0,"   ",C93/B93*100)</f>
        <v>28.010065460001528</v>
      </c>
      <c r="E93" s="142">
        <f t="shared" si="1"/>
        <v>-4983378.28</v>
      </c>
    </row>
    <row r="94" spans="1:5" s="59" customFormat="1" ht="23.25" customHeight="1">
      <c r="A94" s="80" t="s">
        <v>225</v>
      </c>
      <c r="B94" s="80"/>
      <c r="C94" s="306"/>
      <c r="D94" s="306"/>
      <c r="E94" s="306"/>
    </row>
    <row r="95" spans="1:5" s="59" customFormat="1" ht="12" customHeight="1">
      <c r="A95" s="80" t="s">
        <v>154</v>
      </c>
      <c r="B95" s="80"/>
      <c r="C95" s="81" t="s">
        <v>251</v>
      </c>
      <c r="D95" s="82"/>
      <c r="E95" s="83"/>
    </row>
    <row r="96" spans="1:5" ht="12.75">
      <c r="A96" s="177"/>
      <c r="B96" s="177"/>
      <c r="C96" s="178"/>
      <c r="D96" s="177"/>
      <c r="E96" s="179"/>
    </row>
    <row r="97" spans="1:5" ht="12.75">
      <c r="A97" s="177"/>
      <c r="B97" s="177"/>
      <c r="C97" s="178"/>
      <c r="D97" s="177"/>
      <c r="E97" s="179"/>
    </row>
    <row r="98" spans="1:5" ht="12.75">
      <c r="A98" s="180"/>
      <c r="B98" s="180"/>
      <c r="C98" s="180"/>
      <c r="D98" s="180"/>
      <c r="E98" s="180"/>
    </row>
    <row r="99" spans="1:5" ht="12.75">
      <c r="A99" s="180"/>
      <c r="B99" s="180"/>
      <c r="C99" s="180"/>
      <c r="D99" s="180"/>
      <c r="E99" s="180"/>
    </row>
    <row r="100" spans="1:5" ht="12.75">
      <c r="A100" s="180"/>
      <c r="B100" s="180"/>
      <c r="C100" s="180"/>
      <c r="D100" s="180"/>
      <c r="E100" s="180"/>
    </row>
    <row r="101" spans="1:5" ht="12.75">
      <c r="A101" s="180"/>
      <c r="B101" s="180"/>
      <c r="C101" s="180"/>
      <c r="D101" s="180"/>
      <c r="E101" s="180"/>
    </row>
    <row r="102" spans="1:5" ht="12.75">
      <c r="A102" s="180"/>
      <c r="B102" s="180"/>
      <c r="C102" s="180"/>
      <c r="D102" s="180"/>
      <c r="E102" s="180"/>
    </row>
    <row r="103" spans="1:5" ht="12.75">
      <c r="A103" s="180"/>
      <c r="B103" s="180"/>
      <c r="C103" s="180"/>
      <c r="D103" s="180"/>
      <c r="E103" s="180"/>
    </row>
  </sheetData>
  <sheetProtection/>
  <mergeCells count="2">
    <mergeCell ref="A1:E1"/>
    <mergeCell ref="C94:E94"/>
  </mergeCells>
  <printOptions/>
  <pageMargins left="1.141732283464567" right="0.5511811023622047" top="0.4724409448818898" bottom="0.4724409448818898" header="0.5118110236220472" footer="0.5118110236220472"/>
  <pageSetup fitToHeight="2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09.875" style="0" customWidth="1"/>
    <col min="2" max="2" width="17.50390625" style="0" customWidth="1"/>
    <col min="3" max="3" width="17.625" style="0" customWidth="1"/>
    <col min="4" max="4" width="17.125" style="0" customWidth="1"/>
    <col min="5" max="5" width="15.00390625" style="0" customWidth="1"/>
  </cols>
  <sheetData>
    <row r="1" spans="1:5" ht="17.25">
      <c r="A1" s="308" t="s">
        <v>305</v>
      </c>
      <c r="B1" s="308"/>
      <c r="C1" s="308"/>
      <c r="D1" s="308"/>
      <c r="E1" s="308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78">
      <c r="A4" s="34" t="s">
        <v>1</v>
      </c>
      <c r="B4" s="19" t="s">
        <v>256</v>
      </c>
      <c r="C4" s="32" t="s">
        <v>303</v>
      </c>
      <c r="D4" s="19" t="s">
        <v>257</v>
      </c>
      <c r="E4" s="36" t="s">
        <v>258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45</v>
      </c>
      <c r="B7" s="149">
        <f>SUM(B8)</f>
        <v>81500</v>
      </c>
      <c r="C7" s="149">
        <f>C8</f>
        <v>21164.76</v>
      </c>
      <c r="D7" s="139">
        <f aca="true" t="shared" si="0" ref="D7:D95">IF(B7=0,"   ",C7/B7*100)</f>
        <v>25.96903067484662</v>
      </c>
      <c r="E7" s="140">
        <f aca="true" t="shared" si="1" ref="E7:E96">C7-B7</f>
        <v>-60335.240000000005</v>
      </c>
    </row>
    <row r="8" spans="1:5" ht="12.75">
      <c r="A8" s="16" t="s">
        <v>44</v>
      </c>
      <c r="B8" s="84">
        <v>81500</v>
      </c>
      <c r="C8" s="243">
        <v>21164.76</v>
      </c>
      <c r="D8" s="139">
        <f t="shared" si="0"/>
        <v>25.96903067484662</v>
      </c>
      <c r="E8" s="140">
        <f t="shared" si="1"/>
        <v>-60335.240000000005</v>
      </c>
    </row>
    <row r="9" spans="1:5" ht="12.75">
      <c r="A9" s="64" t="s">
        <v>137</v>
      </c>
      <c r="B9" s="200">
        <f>SUM(B10)</f>
        <v>500700</v>
      </c>
      <c r="C9" s="200">
        <f>SUM(C10)</f>
        <v>216510.6</v>
      </c>
      <c r="D9" s="139">
        <f t="shared" si="0"/>
        <v>43.2415817855003</v>
      </c>
      <c r="E9" s="140">
        <f t="shared" si="1"/>
        <v>-284189.4</v>
      </c>
    </row>
    <row r="10" spans="1:5" ht="12.75">
      <c r="A10" s="41" t="s">
        <v>138</v>
      </c>
      <c r="B10" s="201">
        <v>500700</v>
      </c>
      <c r="C10" s="243">
        <v>216510.6</v>
      </c>
      <c r="D10" s="139">
        <f t="shared" si="0"/>
        <v>43.2415817855003</v>
      </c>
      <c r="E10" s="140">
        <f t="shared" si="1"/>
        <v>-284189.4</v>
      </c>
    </row>
    <row r="11" spans="1:5" ht="13.5" customHeight="1">
      <c r="A11" s="16" t="s">
        <v>7</v>
      </c>
      <c r="B11" s="201">
        <f>SUM(B12:B12)</f>
        <v>53700</v>
      </c>
      <c r="C11" s="201">
        <f>SUM(C12:C12)</f>
        <v>56836.5</v>
      </c>
      <c r="D11" s="139">
        <f t="shared" si="0"/>
        <v>105.84078212290503</v>
      </c>
      <c r="E11" s="140">
        <f t="shared" si="1"/>
        <v>3136.5</v>
      </c>
    </row>
    <row r="12" spans="1:5" ht="13.5" customHeight="1">
      <c r="A12" s="16" t="s">
        <v>26</v>
      </c>
      <c r="B12" s="201">
        <v>53700</v>
      </c>
      <c r="C12" s="243">
        <v>56836.5</v>
      </c>
      <c r="D12" s="139">
        <f t="shared" si="0"/>
        <v>105.84078212290503</v>
      </c>
      <c r="E12" s="140">
        <f t="shared" si="1"/>
        <v>3136.5</v>
      </c>
    </row>
    <row r="13" spans="1:5" ht="12.75">
      <c r="A13" s="16" t="s">
        <v>9</v>
      </c>
      <c r="B13" s="201">
        <f>SUM(B14:B15)</f>
        <v>344000</v>
      </c>
      <c r="C13" s="201">
        <f>SUM(C14:C15)</f>
        <v>37666.9</v>
      </c>
      <c r="D13" s="139">
        <f t="shared" si="0"/>
        <v>10.94968023255814</v>
      </c>
      <c r="E13" s="140">
        <f t="shared" si="1"/>
        <v>-306333.1</v>
      </c>
    </row>
    <row r="14" spans="1:5" ht="19.5" customHeight="1">
      <c r="A14" s="16" t="s">
        <v>27</v>
      </c>
      <c r="B14" s="201">
        <v>87000</v>
      </c>
      <c r="C14" s="243">
        <v>1666.68</v>
      </c>
      <c r="D14" s="139">
        <f t="shared" si="0"/>
        <v>1.9157241379310346</v>
      </c>
      <c r="E14" s="140">
        <f t="shared" si="1"/>
        <v>-85333.32</v>
      </c>
    </row>
    <row r="15" spans="1:5" ht="18.75" customHeight="1">
      <c r="A15" s="41" t="s">
        <v>161</v>
      </c>
      <c r="B15" s="201">
        <f>SUM(B16:B17)</f>
        <v>257000</v>
      </c>
      <c r="C15" s="201">
        <f>SUM(C16:C17)</f>
        <v>36000.22</v>
      </c>
      <c r="D15" s="139">
        <f t="shared" si="0"/>
        <v>14.007867704280155</v>
      </c>
      <c r="E15" s="140">
        <f t="shared" si="1"/>
        <v>-220999.78</v>
      </c>
    </row>
    <row r="16" spans="1:5" ht="18.75" customHeight="1">
      <c r="A16" s="41" t="s">
        <v>162</v>
      </c>
      <c r="B16" s="201">
        <v>40000</v>
      </c>
      <c r="C16" s="243">
        <v>25854.1</v>
      </c>
      <c r="D16" s="139">
        <f t="shared" si="0"/>
        <v>64.63525</v>
      </c>
      <c r="E16" s="140">
        <f t="shared" si="1"/>
        <v>-14145.900000000001</v>
      </c>
    </row>
    <row r="17" spans="1:5" ht="18" customHeight="1">
      <c r="A17" s="41" t="s">
        <v>163</v>
      </c>
      <c r="B17" s="201">
        <v>217000</v>
      </c>
      <c r="C17" s="243">
        <v>10146.12</v>
      </c>
      <c r="D17" s="139">
        <f t="shared" si="0"/>
        <v>4.67563133640553</v>
      </c>
      <c r="E17" s="140">
        <f t="shared" si="1"/>
        <v>-206853.88</v>
      </c>
    </row>
    <row r="18" spans="1:5" ht="18" customHeight="1">
      <c r="A18" s="41" t="s">
        <v>197</v>
      </c>
      <c r="B18" s="201">
        <v>0</v>
      </c>
      <c r="C18" s="243">
        <v>0</v>
      </c>
      <c r="D18" s="139" t="str">
        <f t="shared" si="0"/>
        <v>   </v>
      </c>
      <c r="E18" s="140">
        <f t="shared" si="1"/>
        <v>0</v>
      </c>
    </row>
    <row r="19" spans="1:5" ht="15" customHeight="1">
      <c r="A19" s="16" t="s">
        <v>88</v>
      </c>
      <c r="B19" s="201">
        <v>0</v>
      </c>
      <c r="C19" s="202">
        <v>0</v>
      </c>
      <c r="D19" s="139" t="str">
        <f t="shared" si="0"/>
        <v>   </v>
      </c>
      <c r="E19" s="140">
        <f t="shared" si="1"/>
        <v>0</v>
      </c>
    </row>
    <row r="20" spans="1:5" ht="26.25" customHeight="1">
      <c r="A20" s="16" t="s">
        <v>28</v>
      </c>
      <c r="B20" s="201">
        <f>B22+B21</f>
        <v>88800</v>
      </c>
      <c r="C20" s="200">
        <f>SUM(C21:C22)</f>
        <v>5232.43</v>
      </c>
      <c r="D20" s="139">
        <f t="shared" si="0"/>
        <v>5.892376126126127</v>
      </c>
      <c r="E20" s="140">
        <f t="shared" si="1"/>
        <v>-83567.57</v>
      </c>
    </row>
    <row r="21" spans="1:5" ht="15.75" customHeight="1">
      <c r="A21" s="41" t="s">
        <v>152</v>
      </c>
      <c r="B21" s="201">
        <v>88800</v>
      </c>
      <c r="C21" s="202">
        <v>5232.43</v>
      </c>
      <c r="D21" s="139">
        <f t="shared" si="0"/>
        <v>5.892376126126127</v>
      </c>
      <c r="E21" s="140">
        <f t="shared" si="1"/>
        <v>-83567.57</v>
      </c>
    </row>
    <row r="22" spans="1:5" ht="15" customHeight="1">
      <c r="A22" s="16" t="s">
        <v>30</v>
      </c>
      <c r="B22" s="201">
        <v>0</v>
      </c>
      <c r="C22" s="202">
        <v>0</v>
      </c>
      <c r="D22" s="139" t="str">
        <f t="shared" si="0"/>
        <v>   </v>
      </c>
      <c r="E22" s="140">
        <f t="shared" si="1"/>
        <v>0</v>
      </c>
    </row>
    <row r="23" spans="1:5" ht="18.75" customHeight="1">
      <c r="A23" s="39" t="s">
        <v>91</v>
      </c>
      <c r="B23" s="201">
        <v>0</v>
      </c>
      <c r="C23" s="202">
        <v>0</v>
      </c>
      <c r="D23" s="139" t="str">
        <f t="shared" si="0"/>
        <v>   </v>
      </c>
      <c r="E23" s="140">
        <f t="shared" si="1"/>
        <v>0</v>
      </c>
    </row>
    <row r="24" spans="1:5" ht="18.75" customHeight="1">
      <c r="A24" s="16" t="s">
        <v>76</v>
      </c>
      <c r="B24" s="201">
        <f>SUM(B25)</f>
        <v>0</v>
      </c>
      <c r="C24" s="201">
        <f>SUM(C25)</f>
        <v>0</v>
      </c>
      <c r="D24" s="139" t="str">
        <f t="shared" si="0"/>
        <v>   </v>
      </c>
      <c r="E24" s="140">
        <f t="shared" si="1"/>
        <v>0</v>
      </c>
    </row>
    <row r="25" spans="1:5" ht="24.75" customHeight="1">
      <c r="A25" s="16" t="s">
        <v>77</v>
      </c>
      <c r="B25" s="201">
        <v>0</v>
      </c>
      <c r="C25" s="202">
        <v>0</v>
      </c>
      <c r="D25" s="139" t="str">
        <f t="shared" si="0"/>
        <v>   </v>
      </c>
      <c r="E25" s="140">
        <f t="shared" si="1"/>
        <v>0</v>
      </c>
    </row>
    <row r="26" spans="1:5" ht="24.75" customHeight="1">
      <c r="A26" s="16" t="s">
        <v>31</v>
      </c>
      <c r="B26" s="201">
        <v>0</v>
      </c>
      <c r="C26" s="202">
        <v>0</v>
      </c>
      <c r="D26" s="139" t="str">
        <f t="shared" si="0"/>
        <v>   </v>
      </c>
      <c r="E26" s="140">
        <f t="shared" si="1"/>
        <v>0</v>
      </c>
    </row>
    <row r="27" spans="1:5" ht="17.25" customHeight="1">
      <c r="A27" s="16" t="s">
        <v>32</v>
      </c>
      <c r="B27" s="200">
        <f>B28+B29</f>
        <v>0</v>
      </c>
      <c r="C27" s="200">
        <f>C28+C29</f>
        <v>-12.12</v>
      </c>
      <c r="D27" s="139" t="str">
        <f t="shared" si="0"/>
        <v>   </v>
      </c>
      <c r="E27" s="140">
        <f t="shared" si="1"/>
        <v>-12.12</v>
      </c>
    </row>
    <row r="28" spans="1:5" ht="14.25" customHeight="1">
      <c r="A28" s="16" t="s">
        <v>136</v>
      </c>
      <c r="B28" s="201">
        <v>0</v>
      </c>
      <c r="C28" s="202">
        <v>-12.12</v>
      </c>
      <c r="D28" s="139" t="str">
        <f t="shared" si="0"/>
        <v>   </v>
      </c>
      <c r="E28" s="140">
        <f t="shared" si="1"/>
        <v>-12.12</v>
      </c>
    </row>
    <row r="29" spans="1:5" ht="14.25" customHeight="1">
      <c r="A29" s="16" t="s">
        <v>110</v>
      </c>
      <c r="B29" s="201">
        <v>0</v>
      </c>
      <c r="C29" s="201">
        <v>0</v>
      </c>
      <c r="D29" s="139" t="str">
        <f t="shared" si="0"/>
        <v>   </v>
      </c>
      <c r="E29" s="140">
        <f t="shared" si="1"/>
        <v>0</v>
      </c>
    </row>
    <row r="30" spans="1:5" ht="18" customHeight="1">
      <c r="A30" s="173" t="s">
        <v>10</v>
      </c>
      <c r="B30" s="150">
        <f>SUM(B7,B9,B11,B13,B19,B20,B23,B24,B26,B28,B29,B18)</f>
        <v>1068700</v>
      </c>
      <c r="C30" s="150">
        <f>SUM(C7,C9,C11,C13,C19,C20,C23,C24,C26,C28,C29,C18)</f>
        <v>337399.07</v>
      </c>
      <c r="D30" s="141">
        <f t="shared" si="0"/>
        <v>31.57098063067278</v>
      </c>
      <c r="E30" s="142">
        <f t="shared" si="1"/>
        <v>-731300.9299999999</v>
      </c>
    </row>
    <row r="31" spans="1:5" ht="18" customHeight="1">
      <c r="A31" s="148" t="s">
        <v>140</v>
      </c>
      <c r="B31" s="189">
        <f>SUM(B32:B35,B38,B39,B42+B44)</f>
        <v>1955143</v>
      </c>
      <c r="C31" s="189">
        <f>SUM(C32:C35,C38,C39,C42+C44)</f>
        <v>726842</v>
      </c>
      <c r="D31" s="141">
        <f t="shared" si="0"/>
        <v>37.17589966565105</v>
      </c>
      <c r="E31" s="142">
        <f t="shared" si="1"/>
        <v>-1228301</v>
      </c>
    </row>
    <row r="32" spans="1:5" ht="16.5" customHeight="1">
      <c r="A32" s="64" t="s">
        <v>34</v>
      </c>
      <c r="B32" s="160">
        <v>1039500</v>
      </c>
      <c r="C32" s="243">
        <v>519720</v>
      </c>
      <c r="D32" s="154">
        <f t="shared" si="0"/>
        <v>49.997113997114</v>
      </c>
      <c r="E32" s="155">
        <f t="shared" si="1"/>
        <v>-519780</v>
      </c>
    </row>
    <row r="33" spans="1:5" ht="16.5" customHeight="1">
      <c r="A33" s="17" t="s">
        <v>232</v>
      </c>
      <c r="B33" s="160">
        <v>0</v>
      </c>
      <c r="C33" s="243">
        <v>0</v>
      </c>
      <c r="D33" s="154" t="str">
        <f>IF(B33=0,"   ",C33/B33*100)</f>
        <v>   </v>
      </c>
      <c r="E33" s="155">
        <f>C33-B33</f>
        <v>0</v>
      </c>
    </row>
    <row r="34" spans="1:5" ht="24.75" customHeight="1">
      <c r="A34" s="41" t="s">
        <v>51</v>
      </c>
      <c r="B34" s="201">
        <v>90300</v>
      </c>
      <c r="C34" s="243">
        <v>45400</v>
      </c>
      <c r="D34" s="154">
        <f t="shared" si="0"/>
        <v>50.27685492801772</v>
      </c>
      <c r="E34" s="155">
        <f t="shared" si="1"/>
        <v>-44900</v>
      </c>
    </row>
    <row r="35" spans="1:5" ht="24.75" customHeight="1">
      <c r="A35" s="41" t="s">
        <v>148</v>
      </c>
      <c r="B35" s="201">
        <f>SUM(B36:B37)</f>
        <v>6700</v>
      </c>
      <c r="C35" s="201">
        <f>SUM(C36:C37)</f>
        <v>100</v>
      </c>
      <c r="D35" s="154">
        <f t="shared" si="0"/>
        <v>1.4925373134328357</v>
      </c>
      <c r="E35" s="155">
        <f t="shared" si="1"/>
        <v>-6600</v>
      </c>
    </row>
    <row r="36" spans="1:5" ht="16.5" customHeight="1">
      <c r="A36" s="109" t="s">
        <v>164</v>
      </c>
      <c r="B36" s="201">
        <v>100</v>
      </c>
      <c r="C36" s="202">
        <v>100</v>
      </c>
      <c r="D36" s="154">
        <f>IF(B36=0,"   ",C36/B36*100)</f>
        <v>100</v>
      </c>
      <c r="E36" s="155">
        <f>C36-B36</f>
        <v>0</v>
      </c>
    </row>
    <row r="37" spans="1:5" ht="26.25" customHeight="1">
      <c r="A37" s="109" t="s">
        <v>165</v>
      </c>
      <c r="B37" s="201">
        <v>6600</v>
      </c>
      <c r="C37" s="202">
        <v>0</v>
      </c>
      <c r="D37" s="154">
        <f>IF(B37=0,"   ",C37/B37*100)</f>
        <v>0</v>
      </c>
      <c r="E37" s="155">
        <f>C37-B37</f>
        <v>-6600</v>
      </c>
    </row>
    <row r="38" spans="1:5" ht="50.25" customHeight="1">
      <c r="A38" s="16" t="s">
        <v>241</v>
      </c>
      <c r="B38" s="201">
        <v>455900</v>
      </c>
      <c r="C38" s="202">
        <v>0</v>
      </c>
      <c r="D38" s="154">
        <f>IF(B38=0,"   ",C38/B38*100)</f>
        <v>0</v>
      </c>
      <c r="E38" s="155">
        <f>C38-B38</f>
        <v>-455900</v>
      </c>
    </row>
    <row r="39" spans="1:5" ht="14.25" customHeight="1">
      <c r="A39" s="41" t="s">
        <v>80</v>
      </c>
      <c r="B39" s="201">
        <f>B40+B41</f>
        <v>349700</v>
      </c>
      <c r="C39" s="201">
        <f>C40+C41</f>
        <v>161622</v>
      </c>
      <c r="D39" s="154">
        <f t="shared" si="0"/>
        <v>46.217329139262226</v>
      </c>
      <c r="E39" s="155">
        <f t="shared" si="1"/>
        <v>-188078</v>
      </c>
    </row>
    <row r="40" spans="1:5" ht="16.5" customHeight="1">
      <c r="A40" s="41" t="s">
        <v>109</v>
      </c>
      <c r="B40" s="201">
        <v>310600</v>
      </c>
      <c r="C40" s="202">
        <v>161622</v>
      </c>
      <c r="D40" s="154">
        <f t="shared" si="0"/>
        <v>52.035415325177084</v>
      </c>
      <c r="E40" s="155">
        <f t="shared" si="1"/>
        <v>-148978</v>
      </c>
    </row>
    <row r="41" spans="1:5" ht="16.5" customHeight="1">
      <c r="A41" s="46" t="s">
        <v>189</v>
      </c>
      <c r="B41" s="201">
        <v>39100</v>
      </c>
      <c r="C41" s="202">
        <v>0</v>
      </c>
      <c r="D41" s="154">
        <f t="shared" si="0"/>
        <v>0</v>
      </c>
      <c r="E41" s="155">
        <f t="shared" si="1"/>
        <v>-39100</v>
      </c>
    </row>
    <row r="42" spans="1:5" ht="16.5" customHeight="1">
      <c r="A42" s="41" t="s">
        <v>171</v>
      </c>
      <c r="B42" s="201">
        <v>0</v>
      </c>
      <c r="C42" s="202">
        <v>0</v>
      </c>
      <c r="D42" s="154" t="str">
        <f t="shared" si="0"/>
        <v>   </v>
      </c>
      <c r="E42" s="155">
        <f t="shared" si="1"/>
        <v>0</v>
      </c>
    </row>
    <row r="43" spans="1:5" ht="37.5" customHeight="1">
      <c r="A43" s="41" t="s">
        <v>103</v>
      </c>
      <c r="B43" s="201">
        <v>0</v>
      </c>
      <c r="C43" s="201">
        <v>0</v>
      </c>
      <c r="D43" s="154" t="str">
        <f t="shared" si="0"/>
        <v>   </v>
      </c>
      <c r="E43" s="155">
        <f t="shared" si="1"/>
        <v>0</v>
      </c>
    </row>
    <row r="44" spans="1:5" ht="15" customHeight="1">
      <c r="A44" s="16" t="s">
        <v>200</v>
      </c>
      <c r="B44" s="201">
        <v>13043</v>
      </c>
      <c r="C44" s="243">
        <v>0</v>
      </c>
      <c r="D44" s="154">
        <f t="shared" si="0"/>
        <v>0</v>
      </c>
      <c r="E44" s="155">
        <f t="shared" si="1"/>
        <v>-13043</v>
      </c>
    </row>
    <row r="45" spans="1:5" ht="21" customHeight="1">
      <c r="A45" s="173" t="s">
        <v>11</v>
      </c>
      <c r="B45" s="150">
        <f>SUM(B30,B31,)</f>
        <v>3023843</v>
      </c>
      <c r="C45" s="150">
        <f>SUM(C30,C31,)</f>
        <v>1064241.07</v>
      </c>
      <c r="D45" s="141">
        <f t="shared" si="0"/>
        <v>35.194984329543566</v>
      </c>
      <c r="E45" s="142">
        <f t="shared" si="1"/>
        <v>-1959601.93</v>
      </c>
    </row>
    <row r="46" spans="1:5" ht="21.75" customHeight="1">
      <c r="A46" s="174" t="s">
        <v>12</v>
      </c>
      <c r="B46" s="150"/>
      <c r="C46" s="162"/>
      <c r="D46" s="154" t="str">
        <f t="shared" si="0"/>
        <v>   </v>
      </c>
      <c r="E46" s="155">
        <f t="shared" si="1"/>
        <v>0</v>
      </c>
    </row>
    <row r="47" spans="1:5" ht="16.5" customHeight="1">
      <c r="A47" s="41" t="s">
        <v>35</v>
      </c>
      <c r="B47" s="152">
        <f>SUM(B48,B51:B52)</f>
        <v>1130000</v>
      </c>
      <c r="C47" s="152">
        <f>SUM(C48,C51:C52)</f>
        <v>383971.82</v>
      </c>
      <c r="D47" s="154">
        <f t="shared" si="0"/>
        <v>33.979807079646015</v>
      </c>
      <c r="E47" s="155">
        <f t="shared" si="1"/>
        <v>-746028.1799999999</v>
      </c>
    </row>
    <row r="48" spans="1:5" ht="13.5" customHeight="1">
      <c r="A48" s="41" t="s">
        <v>36</v>
      </c>
      <c r="B48" s="152">
        <v>1129500</v>
      </c>
      <c r="C48" s="152">
        <v>383971.82</v>
      </c>
      <c r="D48" s="154">
        <f t="shared" si="0"/>
        <v>33.99484904825144</v>
      </c>
      <c r="E48" s="155">
        <f t="shared" si="1"/>
        <v>-745528.1799999999</v>
      </c>
    </row>
    <row r="49" spans="1:5" ht="12.75">
      <c r="A49" s="41" t="s">
        <v>122</v>
      </c>
      <c r="B49" s="152">
        <v>753840</v>
      </c>
      <c r="C49" s="162">
        <v>224051.64</v>
      </c>
      <c r="D49" s="154">
        <f t="shared" si="0"/>
        <v>29.72137854186565</v>
      </c>
      <c r="E49" s="155">
        <f t="shared" si="1"/>
        <v>-529788.36</v>
      </c>
    </row>
    <row r="50" spans="1:5" ht="12.75">
      <c r="A50" s="85" t="s">
        <v>293</v>
      </c>
      <c r="B50" s="152">
        <v>100</v>
      </c>
      <c r="C50" s="162">
        <v>100</v>
      </c>
      <c r="D50" s="154">
        <f>IF(B50=0,"   ",C50/B50*100)</f>
        <v>100</v>
      </c>
      <c r="E50" s="155">
        <f>C50-B50</f>
        <v>0</v>
      </c>
    </row>
    <row r="51" spans="1:5" ht="12.75">
      <c r="A51" s="41" t="s">
        <v>95</v>
      </c>
      <c r="B51" s="152">
        <v>500</v>
      </c>
      <c r="C51" s="153">
        <v>0</v>
      </c>
      <c r="D51" s="154">
        <f t="shared" si="0"/>
        <v>0</v>
      </c>
      <c r="E51" s="155">
        <f t="shared" si="1"/>
        <v>-500</v>
      </c>
    </row>
    <row r="52" spans="1:5" ht="12.75">
      <c r="A52" s="41" t="s">
        <v>52</v>
      </c>
      <c r="B52" s="153">
        <f>SUM(B53)</f>
        <v>0</v>
      </c>
      <c r="C52" s="153">
        <f>SUM(C53)</f>
        <v>0</v>
      </c>
      <c r="D52" s="154" t="str">
        <f t="shared" si="0"/>
        <v>   </v>
      </c>
      <c r="E52" s="155">
        <f t="shared" si="1"/>
        <v>0</v>
      </c>
    </row>
    <row r="53" spans="1:5" ht="26.25">
      <c r="A53" s="105" t="s">
        <v>252</v>
      </c>
      <c r="B53" s="152">
        <v>0</v>
      </c>
      <c r="C53" s="153">
        <v>0</v>
      </c>
      <c r="D53" s="154" t="str">
        <f t="shared" si="0"/>
        <v>   </v>
      </c>
      <c r="E53" s="155">
        <f t="shared" si="1"/>
        <v>0</v>
      </c>
    </row>
    <row r="54" spans="1:5" ht="16.5" customHeight="1">
      <c r="A54" s="41" t="s">
        <v>49</v>
      </c>
      <c r="B54" s="153">
        <f>SUM(B55)</f>
        <v>90300</v>
      </c>
      <c r="C54" s="153">
        <f>SUM(C55)</f>
        <v>44719.95</v>
      </c>
      <c r="D54" s="154">
        <f t="shared" si="0"/>
        <v>49.52375415282392</v>
      </c>
      <c r="E54" s="155">
        <f t="shared" si="1"/>
        <v>-45580.05</v>
      </c>
    </row>
    <row r="55" spans="1:5" ht="17.25" customHeight="1">
      <c r="A55" s="39" t="s">
        <v>107</v>
      </c>
      <c r="B55" s="152">
        <v>90300</v>
      </c>
      <c r="C55" s="153">
        <v>44719.95</v>
      </c>
      <c r="D55" s="154">
        <f t="shared" si="0"/>
        <v>49.52375415282392</v>
      </c>
      <c r="E55" s="155">
        <f t="shared" si="1"/>
        <v>-45580.05</v>
      </c>
    </row>
    <row r="56" spans="1:5" ht="22.5" customHeight="1">
      <c r="A56" s="41" t="s">
        <v>37</v>
      </c>
      <c r="B56" s="152">
        <f>SUM(B57)</f>
        <v>1000</v>
      </c>
      <c r="C56" s="153">
        <f>SUM(C57)</f>
        <v>1000</v>
      </c>
      <c r="D56" s="154">
        <f t="shared" si="0"/>
        <v>100</v>
      </c>
      <c r="E56" s="155">
        <f t="shared" si="1"/>
        <v>0</v>
      </c>
    </row>
    <row r="57" spans="1:5" ht="17.25" customHeight="1">
      <c r="A57" s="75" t="s">
        <v>128</v>
      </c>
      <c r="B57" s="152">
        <v>1000</v>
      </c>
      <c r="C57" s="153">
        <v>1000</v>
      </c>
      <c r="D57" s="154">
        <f t="shared" si="0"/>
        <v>100</v>
      </c>
      <c r="E57" s="155">
        <f t="shared" si="1"/>
        <v>0</v>
      </c>
    </row>
    <row r="58" spans="1:5" ht="18.75" customHeight="1">
      <c r="A58" s="41" t="s">
        <v>38</v>
      </c>
      <c r="B58" s="152">
        <f>B64+B59+B72+B62</f>
        <v>1499223.59</v>
      </c>
      <c r="C58" s="152">
        <f>C64+C59+C72+C62</f>
        <v>226080</v>
      </c>
      <c r="D58" s="154">
        <f t="shared" si="0"/>
        <v>15.079805407811117</v>
      </c>
      <c r="E58" s="155">
        <f t="shared" si="1"/>
        <v>-1273143.59</v>
      </c>
    </row>
    <row r="59" spans="1:5" ht="18.75" customHeight="1">
      <c r="A59" s="75" t="s">
        <v>166</v>
      </c>
      <c r="B59" s="25">
        <f>SUM(B60,B61)</f>
        <v>6600</v>
      </c>
      <c r="C59" s="152">
        <f>SUM(C60,C61)</f>
        <v>0</v>
      </c>
      <c r="D59" s="154">
        <f>IF(B59=0,"   ",C59/B59*100)</f>
        <v>0</v>
      </c>
      <c r="E59" s="155">
        <f>C59-B59</f>
        <v>-6600</v>
      </c>
    </row>
    <row r="60" spans="1:5" ht="18.75" customHeight="1">
      <c r="A60" s="75" t="s">
        <v>167</v>
      </c>
      <c r="B60" s="25">
        <v>6600</v>
      </c>
      <c r="C60" s="152">
        <v>0</v>
      </c>
      <c r="D60" s="154">
        <f>IF(B60=0,"   ",C60/B60*100)</f>
        <v>0</v>
      </c>
      <c r="E60" s="155">
        <f>C60-B60</f>
        <v>-6600</v>
      </c>
    </row>
    <row r="61" spans="1:5" ht="18.75" customHeight="1">
      <c r="A61" s="75" t="s">
        <v>190</v>
      </c>
      <c r="B61" s="25">
        <v>0</v>
      </c>
      <c r="C61" s="152">
        <v>0</v>
      </c>
      <c r="D61" s="154" t="str">
        <f>IF(B61=0,"   ",C61/B61*100)</f>
        <v>   </v>
      </c>
      <c r="E61" s="155">
        <f>C61-B61</f>
        <v>0</v>
      </c>
    </row>
    <row r="62" spans="1:5" ht="18.75" customHeight="1">
      <c r="A62" s="75" t="s">
        <v>234</v>
      </c>
      <c r="B62" s="25">
        <f>SUM(B63)</f>
        <v>100000</v>
      </c>
      <c r="C62" s="25">
        <f>SUM(C63)</f>
        <v>0</v>
      </c>
      <c r="D62" s="154">
        <f>IF(B62=0,"   ",C62/B62*100)</f>
        <v>0</v>
      </c>
      <c r="E62" s="155">
        <f>C62-B62</f>
        <v>-100000</v>
      </c>
    </row>
    <row r="63" spans="1:5" ht="18.75" customHeight="1">
      <c r="A63" s="75" t="s">
        <v>235</v>
      </c>
      <c r="B63" s="25">
        <v>100000</v>
      </c>
      <c r="C63" s="152">
        <v>0</v>
      </c>
      <c r="D63" s="154">
        <f>IF(B63=0,"   ",C63/B63*100)</f>
        <v>0</v>
      </c>
      <c r="E63" s="155">
        <f>C63-B63</f>
        <v>-100000</v>
      </c>
    </row>
    <row r="64" spans="1:5" ht="12.75">
      <c r="A64" s="96" t="s">
        <v>131</v>
      </c>
      <c r="B64" s="152">
        <f>SUM(B65:B71)</f>
        <v>1345623.59</v>
      </c>
      <c r="C64" s="152">
        <f>SUM(C65:C71)</f>
        <v>179580</v>
      </c>
      <c r="D64" s="154">
        <f t="shared" si="0"/>
        <v>13.345485419143104</v>
      </c>
      <c r="E64" s="155">
        <f t="shared" si="1"/>
        <v>-1166043.59</v>
      </c>
    </row>
    <row r="65" spans="1:5" ht="16.5" customHeight="1">
      <c r="A65" s="75" t="s">
        <v>149</v>
      </c>
      <c r="B65" s="152">
        <v>0</v>
      </c>
      <c r="C65" s="152">
        <v>0</v>
      </c>
      <c r="D65" s="154" t="str">
        <f t="shared" si="0"/>
        <v>   </v>
      </c>
      <c r="E65" s="155">
        <f t="shared" si="1"/>
        <v>0</v>
      </c>
    </row>
    <row r="66" spans="1:5" ht="27" customHeight="1">
      <c r="A66" s="71" t="s">
        <v>262</v>
      </c>
      <c r="B66" s="152">
        <v>475523.59</v>
      </c>
      <c r="C66" s="152">
        <v>0</v>
      </c>
      <c r="D66" s="154">
        <f>IF(B66=0,"   ",C66/B66*100)</f>
        <v>0</v>
      </c>
      <c r="E66" s="155">
        <f>C66-B66</f>
        <v>-475523.59</v>
      </c>
    </row>
    <row r="67" spans="1:5" ht="26.25">
      <c r="A67" s="71" t="s">
        <v>263</v>
      </c>
      <c r="B67" s="152">
        <v>18300</v>
      </c>
      <c r="C67" s="152">
        <v>0</v>
      </c>
      <c r="D67" s="154">
        <f t="shared" si="0"/>
        <v>0</v>
      </c>
      <c r="E67" s="155">
        <f t="shared" si="1"/>
        <v>-18300</v>
      </c>
    </row>
    <row r="68" spans="1:5" ht="26.25">
      <c r="A68" s="71" t="s">
        <v>264</v>
      </c>
      <c r="B68" s="152">
        <v>455900</v>
      </c>
      <c r="C68" s="152">
        <v>0</v>
      </c>
      <c r="D68" s="154">
        <f t="shared" si="0"/>
        <v>0</v>
      </c>
      <c r="E68" s="155">
        <f t="shared" si="1"/>
        <v>-455900</v>
      </c>
    </row>
    <row r="69" spans="1:5" ht="26.25">
      <c r="A69" s="71" t="s">
        <v>265</v>
      </c>
      <c r="B69" s="152">
        <v>50700</v>
      </c>
      <c r="C69" s="152">
        <v>0</v>
      </c>
      <c r="D69" s="154">
        <f t="shared" si="0"/>
        <v>0</v>
      </c>
      <c r="E69" s="155">
        <f t="shared" si="1"/>
        <v>-50700</v>
      </c>
    </row>
    <row r="70" spans="1:5" ht="26.25">
      <c r="A70" s="71" t="s">
        <v>266</v>
      </c>
      <c r="B70" s="152">
        <v>310600</v>
      </c>
      <c r="C70" s="152">
        <v>161622</v>
      </c>
      <c r="D70" s="154">
        <f t="shared" si="0"/>
        <v>52.035415325177084</v>
      </c>
      <c r="E70" s="155">
        <f t="shared" si="1"/>
        <v>-148978</v>
      </c>
    </row>
    <row r="71" spans="1:5" ht="27" thickBot="1">
      <c r="A71" s="71" t="s">
        <v>267</v>
      </c>
      <c r="B71" s="152">
        <v>34600</v>
      </c>
      <c r="C71" s="152">
        <v>17958</v>
      </c>
      <c r="D71" s="154">
        <f t="shared" si="0"/>
        <v>51.90173410404624</v>
      </c>
      <c r="E71" s="155">
        <f t="shared" si="1"/>
        <v>-16642</v>
      </c>
    </row>
    <row r="72" spans="1:5" ht="13.5" thickBot="1">
      <c r="A72" s="96" t="s">
        <v>178</v>
      </c>
      <c r="B72" s="99">
        <f>SUM(B73)</f>
        <v>47000</v>
      </c>
      <c r="C72" s="99">
        <f>SUM(C73)</f>
        <v>46500</v>
      </c>
      <c r="D72" s="154">
        <f>IF(B72=0,"   ",C72/B72*100)</f>
        <v>98.93617021276596</v>
      </c>
      <c r="E72" s="155">
        <f>C72-B72</f>
        <v>-500</v>
      </c>
    </row>
    <row r="73" spans="1:5" ht="26.25">
      <c r="A73" s="75" t="s">
        <v>179</v>
      </c>
      <c r="B73" s="152">
        <v>47000</v>
      </c>
      <c r="C73" s="152">
        <v>46500</v>
      </c>
      <c r="D73" s="154">
        <f>IF(B73=0,"   ",C73/B73*100)</f>
        <v>98.93617021276596</v>
      </c>
      <c r="E73" s="155">
        <f>C73-B73</f>
        <v>-500</v>
      </c>
    </row>
    <row r="74" spans="1:5" ht="21.75" customHeight="1">
      <c r="A74" s="41" t="s">
        <v>13</v>
      </c>
      <c r="B74" s="152">
        <f>B82+B75</f>
        <v>248829.15999999997</v>
      </c>
      <c r="C74" s="152">
        <f>C82+C75</f>
        <v>37629.66</v>
      </c>
      <c r="D74" s="154">
        <f t="shared" si="0"/>
        <v>15.122688996739775</v>
      </c>
      <c r="E74" s="155">
        <f t="shared" si="1"/>
        <v>-211199.49999999997</v>
      </c>
    </row>
    <row r="75" spans="1:5" ht="17.25" customHeight="1">
      <c r="A75" s="41" t="s">
        <v>150</v>
      </c>
      <c r="B75" s="152">
        <f>B78+B76+B77</f>
        <v>26610.18</v>
      </c>
      <c r="C75" s="152">
        <f>C78+C76+C77</f>
        <v>6610.18</v>
      </c>
      <c r="D75" s="154">
        <f aca="true" t="shared" si="2" ref="D75:D81">IF(B75=0,"   ",C75/B75*100)</f>
        <v>24.84079401191574</v>
      </c>
      <c r="E75" s="155">
        <f aca="true" t="shared" si="3" ref="E75:E81">C75-B75</f>
        <v>-20000</v>
      </c>
    </row>
    <row r="76" spans="1:5" ht="28.5" customHeight="1">
      <c r="A76" s="16" t="s">
        <v>196</v>
      </c>
      <c r="B76" s="152">
        <v>6610.18</v>
      </c>
      <c r="C76" s="152">
        <v>6610.18</v>
      </c>
      <c r="D76" s="154">
        <f t="shared" si="2"/>
        <v>100</v>
      </c>
      <c r="E76" s="155">
        <f t="shared" si="3"/>
        <v>0</v>
      </c>
    </row>
    <row r="77" spans="1:5" ht="17.25" customHeight="1">
      <c r="A77" s="105" t="s">
        <v>313</v>
      </c>
      <c r="B77" s="152">
        <v>20000</v>
      </c>
      <c r="C77" s="152">
        <v>0</v>
      </c>
      <c r="D77" s="154">
        <f t="shared" si="2"/>
        <v>0</v>
      </c>
      <c r="E77" s="155">
        <f t="shared" si="3"/>
        <v>-20000</v>
      </c>
    </row>
    <row r="78" spans="1:5" ht="28.5" customHeight="1">
      <c r="A78" s="105" t="s">
        <v>314</v>
      </c>
      <c r="B78" s="152">
        <f>SUM(B79:B81)</f>
        <v>0</v>
      </c>
      <c r="C78" s="152">
        <f>SUM(C79:C81)</f>
        <v>0</v>
      </c>
      <c r="D78" s="154" t="str">
        <f t="shared" si="2"/>
        <v>   </v>
      </c>
      <c r="E78" s="155">
        <f t="shared" si="3"/>
        <v>0</v>
      </c>
    </row>
    <row r="79" spans="1:5" ht="28.5" customHeight="1">
      <c r="A79" s="105" t="s">
        <v>188</v>
      </c>
      <c r="B79" s="153">
        <v>0</v>
      </c>
      <c r="C79" s="153">
        <v>0</v>
      </c>
      <c r="D79" s="154" t="str">
        <f t="shared" si="2"/>
        <v>   </v>
      </c>
      <c r="E79" s="155">
        <f t="shared" si="3"/>
        <v>0</v>
      </c>
    </row>
    <row r="80" spans="1:5" ht="27.75" customHeight="1">
      <c r="A80" s="105" t="s">
        <v>201</v>
      </c>
      <c r="B80" s="153">
        <v>0</v>
      </c>
      <c r="C80" s="153">
        <v>0</v>
      </c>
      <c r="D80" s="154" t="str">
        <f t="shared" si="2"/>
        <v>   </v>
      </c>
      <c r="E80" s="155">
        <f t="shared" si="3"/>
        <v>0</v>
      </c>
    </row>
    <row r="81" spans="1:5" ht="22.5" customHeight="1">
      <c r="A81" s="105" t="s">
        <v>213</v>
      </c>
      <c r="B81" s="153">
        <v>0</v>
      </c>
      <c r="C81" s="153">
        <v>0</v>
      </c>
      <c r="D81" s="154" t="str">
        <f t="shared" si="2"/>
        <v>   </v>
      </c>
      <c r="E81" s="155">
        <f t="shared" si="3"/>
        <v>0</v>
      </c>
    </row>
    <row r="82" spans="1:5" ht="12.75">
      <c r="A82" s="41" t="s">
        <v>63</v>
      </c>
      <c r="B82" s="152">
        <f>B83+B84+B85</f>
        <v>222218.97999999998</v>
      </c>
      <c r="C82" s="152">
        <f>C83+C84+C85</f>
        <v>31019.48</v>
      </c>
      <c r="D82" s="154">
        <f t="shared" si="0"/>
        <v>13.958969661367359</v>
      </c>
      <c r="E82" s="155">
        <f t="shared" si="1"/>
        <v>-191199.49999999997</v>
      </c>
    </row>
    <row r="83" spans="1:5" ht="12.75">
      <c r="A83" s="41" t="s">
        <v>62</v>
      </c>
      <c r="B83" s="152">
        <v>60000</v>
      </c>
      <c r="C83" s="153">
        <v>31019.48</v>
      </c>
      <c r="D83" s="154">
        <f t="shared" si="0"/>
        <v>51.699133333333336</v>
      </c>
      <c r="E83" s="155">
        <f t="shared" si="1"/>
        <v>-28980.52</v>
      </c>
    </row>
    <row r="84" spans="1:5" ht="12.75">
      <c r="A84" s="41" t="s">
        <v>130</v>
      </c>
      <c r="B84" s="152">
        <v>97032.98</v>
      </c>
      <c r="C84" s="152">
        <v>0</v>
      </c>
      <c r="D84" s="154">
        <f t="shared" si="0"/>
        <v>0</v>
      </c>
      <c r="E84" s="155">
        <f t="shared" si="1"/>
        <v>-97032.98</v>
      </c>
    </row>
    <row r="85" spans="1:5" ht="12.75">
      <c r="A85" s="105" t="s">
        <v>207</v>
      </c>
      <c r="B85" s="152">
        <f>SUM(B86:B88)</f>
        <v>65186</v>
      </c>
      <c r="C85" s="152">
        <f>SUM(C86:C88)</f>
        <v>0</v>
      </c>
      <c r="D85" s="154">
        <f t="shared" si="0"/>
        <v>0</v>
      </c>
      <c r="E85" s="155">
        <f t="shared" si="1"/>
        <v>-65186</v>
      </c>
    </row>
    <row r="86" spans="1:5" ht="26.25">
      <c r="A86" s="105" t="s">
        <v>188</v>
      </c>
      <c r="B86" s="152">
        <v>39100</v>
      </c>
      <c r="C86" s="152">
        <v>0</v>
      </c>
      <c r="D86" s="154">
        <f t="shared" si="0"/>
        <v>0</v>
      </c>
      <c r="E86" s="155">
        <f t="shared" si="1"/>
        <v>-39100</v>
      </c>
    </row>
    <row r="87" spans="1:5" ht="26.25">
      <c r="A87" s="105" t="s">
        <v>201</v>
      </c>
      <c r="B87" s="152">
        <v>13043</v>
      </c>
      <c r="C87" s="152">
        <v>0</v>
      </c>
      <c r="D87" s="154">
        <f>IF(B87=0,"   ",C87/B87*100)</f>
        <v>0</v>
      </c>
      <c r="E87" s="155">
        <f>C87-B87</f>
        <v>-13043</v>
      </c>
    </row>
    <row r="88" spans="1:5" ht="26.25">
      <c r="A88" s="105" t="s">
        <v>213</v>
      </c>
      <c r="B88" s="152">
        <v>13043</v>
      </c>
      <c r="C88" s="152">
        <v>0</v>
      </c>
      <c r="D88" s="154">
        <f>IF(B88=0,"   ",C88/B88*100)</f>
        <v>0</v>
      </c>
      <c r="E88" s="155">
        <f>C88-B88</f>
        <v>-13043</v>
      </c>
    </row>
    <row r="89" spans="1:5" ht="21.75" customHeight="1">
      <c r="A89" s="18" t="s">
        <v>17</v>
      </c>
      <c r="B89" s="152">
        <v>8000</v>
      </c>
      <c r="C89" s="152">
        <v>0</v>
      </c>
      <c r="D89" s="154">
        <f t="shared" si="0"/>
        <v>0</v>
      </c>
      <c r="E89" s="155">
        <f t="shared" si="1"/>
        <v>-8000</v>
      </c>
    </row>
    <row r="90" spans="1:5" ht="22.5" customHeight="1">
      <c r="A90" s="41" t="s">
        <v>41</v>
      </c>
      <c r="B90" s="160">
        <f>B91</f>
        <v>237600</v>
      </c>
      <c r="C90" s="160">
        <f>C91</f>
        <v>115090</v>
      </c>
      <c r="D90" s="154">
        <f t="shared" si="0"/>
        <v>48.43855218855219</v>
      </c>
      <c r="E90" s="155">
        <f t="shared" si="1"/>
        <v>-122510</v>
      </c>
    </row>
    <row r="91" spans="1:5" ht="12.75">
      <c r="A91" s="41" t="s">
        <v>42</v>
      </c>
      <c r="B91" s="152">
        <f>SUM(B92:B93)</f>
        <v>237600</v>
      </c>
      <c r="C91" s="152">
        <f>SUM(C92:C93)</f>
        <v>115090</v>
      </c>
      <c r="D91" s="154">
        <f t="shared" si="0"/>
        <v>48.43855218855219</v>
      </c>
      <c r="E91" s="155">
        <f t="shared" si="1"/>
        <v>-122510</v>
      </c>
    </row>
    <row r="92" spans="1:5" ht="12.75">
      <c r="A92" s="169" t="s">
        <v>143</v>
      </c>
      <c r="B92" s="152">
        <v>111600</v>
      </c>
      <c r="C92" s="153">
        <v>111600</v>
      </c>
      <c r="D92" s="154">
        <f t="shared" si="0"/>
        <v>100</v>
      </c>
      <c r="E92" s="155">
        <f t="shared" si="1"/>
        <v>0</v>
      </c>
    </row>
    <row r="93" spans="1:5" ht="12.75">
      <c r="A93" s="117" t="s">
        <v>205</v>
      </c>
      <c r="B93" s="152">
        <v>126000</v>
      </c>
      <c r="C93" s="153">
        <v>3490</v>
      </c>
      <c r="D93" s="154">
        <f t="shared" si="0"/>
        <v>2.7698412698412698</v>
      </c>
      <c r="E93" s="155">
        <f t="shared" si="1"/>
        <v>-122510</v>
      </c>
    </row>
    <row r="94" spans="1:5" ht="16.5" customHeight="1">
      <c r="A94" s="41" t="s">
        <v>124</v>
      </c>
      <c r="B94" s="152">
        <f>SUM(B95,)</f>
        <v>4000</v>
      </c>
      <c r="C94" s="152">
        <f>SUM(C95,)</f>
        <v>0</v>
      </c>
      <c r="D94" s="154">
        <f t="shared" si="0"/>
        <v>0</v>
      </c>
      <c r="E94" s="155">
        <f t="shared" si="1"/>
        <v>-4000</v>
      </c>
    </row>
    <row r="95" spans="1:5" ht="12.75">
      <c r="A95" s="41" t="s">
        <v>43</v>
      </c>
      <c r="B95" s="152">
        <v>4000</v>
      </c>
      <c r="C95" s="162">
        <v>0</v>
      </c>
      <c r="D95" s="154">
        <f t="shared" si="0"/>
        <v>0</v>
      </c>
      <c r="E95" s="155">
        <f t="shared" si="1"/>
        <v>-4000</v>
      </c>
    </row>
    <row r="96" spans="1:5" ht="28.5" customHeight="1">
      <c r="A96" s="173" t="s">
        <v>15</v>
      </c>
      <c r="B96" s="150">
        <f>SUM(B47,B54,B56,B58,B74,B89,B90,B94,)</f>
        <v>3218952.75</v>
      </c>
      <c r="C96" s="150">
        <f>SUM(C47,C54,C56,C58,C74,C89,C90,C94,)</f>
        <v>808491.43</v>
      </c>
      <c r="D96" s="141">
        <f>IF(B96=0,"   ",C96/B96*100)</f>
        <v>25.11659824767543</v>
      </c>
      <c r="E96" s="142">
        <f t="shared" si="1"/>
        <v>-2410461.32</v>
      </c>
    </row>
    <row r="97" spans="1:5" s="59" customFormat="1" ht="23.25" customHeight="1">
      <c r="A97" s="80" t="s">
        <v>225</v>
      </c>
      <c r="B97" s="80"/>
      <c r="C97" s="306"/>
      <c r="D97" s="306"/>
      <c r="E97" s="306"/>
    </row>
    <row r="98" spans="1:5" s="59" customFormat="1" ht="12" customHeight="1">
      <c r="A98" s="80" t="s">
        <v>154</v>
      </c>
      <c r="B98" s="80"/>
      <c r="C98" s="81" t="s">
        <v>251</v>
      </c>
      <c r="D98" s="82"/>
      <c r="E98" s="83"/>
    </row>
    <row r="99" spans="1:5" ht="12.75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  <row r="102" spans="1:5" ht="12.75">
      <c r="A102" s="7"/>
      <c r="B102" s="7"/>
      <c r="C102" s="6"/>
      <c r="D102" s="7"/>
      <c r="E102" s="2"/>
    </row>
  </sheetData>
  <sheetProtection/>
  <mergeCells count="2">
    <mergeCell ref="A1:E1"/>
    <mergeCell ref="C97:E97"/>
  </mergeCells>
  <printOptions/>
  <pageMargins left="1.1811023622047245" right="0.7874015748031497" top="0.5905511811023623" bottom="0.5118110236220472" header="0.5118110236220472" footer="0.5118110236220472"/>
  <pageSetup fitToHeight="2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7"/>
  <sheetViews>
    <sheetView zoomScalePageLayoutView="0" workbookViewId="0" topLeftCell="A121">
      <selection activeCell="C37" sqref="C37"/>
    </sheetView>
  </sheetViews>
  <sheetFormatPr defaultColWidth="9.00390625" defaultRowHeight="12.75"/>
  <cols>
    <col min="1" max="1" width="105.50390625" style="0" customWidth="1"/>
    <col min="2" max="2" width="16.00390625" style="0" customWidth="1"/>
    <col min="3" max="3" width="18.125" style="0" customWidth="1"/>
    <col min="4" max="4" width="20.125" style="0" customWidth="1"/>
    <col min="5" max="5" width="16.375" style="0" customWidth="1"/>
  </cols>
  <sheetData>
    <row r="1" spans="1:5" ht="17.25">
      <c r="A1" s="308" t="s">
        <v>306</v>
      </c>
      <c r="B1" s="308"/>
      <c r="C1" s="308"/>
      <c r="D1" s="308"/>
      <c r="E1" s="308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256</v>
      </c>
      <c r="C4" s="32" t="s">
        <v>298</v>
      </c>
      <c r="D4" s="19" t="s">
        <v>260</v>
      </c>
      <c r="E4" s="36" t="s">
        <v>258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9.5" customHeight="1">
      <c r="A7" s="151" t="s">
        <v>45</v>
      </c>
      <c r="B7" s="149">
        <f>SUM(B8)</f>
        <v>10190400</v>
      </c>
      <c r="C7" s="149">
        <f>SUM(C8)</f>
        <v>4594849.56</v>
      </c>
      <c r="D7" s="139">
        <f aca="true" t="shared" si="0" ref="D7:D108">IF(B7=0,"   ",C7/B7*100)</f>
        <v>45.08998233631653</v>
      </c>
      <c r="E7" s="140">
        <f aca="true" t="shared" si="1" ref="E7:E141">C7-B7</f>
        <v>-5595550.44</v>
      </c>
    </row>
    <row r="8" spans="1:5" ht="12.75">
      <c r="A8" s="85" t="s">
        <v>44</v>
      </c>
      <c r="B8" s="84">
        <v>10190400</v>
      </c>
      <c r="C8" s="244">
        <v>4594849.56</v>
      </c>
      <c r="D8" s="139">
        <f t="shared" si="0"/>
        <v>45.08998233631653</v>
      </c>
      <c r="E8" s="140">
        <f t="shared" si="1"/>
        <v>-5595550.44</v>
      </c>
    </row>
    <row r="9" spans="1:5" ht="18.75" customHeight="1">
      <c r="A9" s="151" t="s">
        <v>137</v>
      </c>
      <c r="B9" s="232">
        <f>SUM(B10)</f>
        <v>1410500</v>
      </c>
      <c r="C9" s="232">
        <f>SUM(C10)</f>
        <v>609966.42</v>
      </c>
      <c r="D9" s="139">
        <f t="shared" si="0"/>
        <v>43.24469478908189</v>
      </c>
      <c r="E9" s="140">
        <f t="shared" si="1"/>
        <v>-800533.58</v>
      </c>
    </row>
    <row r="10" spans="1:5" ht="12.75">
      <c r="A10" s="85" t="s">
        <v>138</v>
      </c>
      <c r="B10" s="233">
        <v>1410500</v>
      </c>
      <c r="C10" s="244">
        <v>609966.42</v>
      </c>
      <c r="D10" s="139">
        <f t="shared" si="0"/>
        <v>43.24469478908189</v>
      </c>
      <c r="E10" s="140">
        <f t="shared" si="1"/>
        <v>-800533.58</v>
      </c>
    </row>
    <row r="11" spans="1:5" ht="17.25" customHeight="1">
      <c r="A11" s="85" t="s">
        <v>7</v>
      </c>
      <c r="B11" s="233">
        <f>SUM(B12:B12)</f>
        <v>0</v>
      </c>
      <c r="C11" s="232">
        <f>SUM(C12)</f>
        <v>0</v>
      </c>
      <c r="D11" s="139" t="str">
        <f t="shared" si="0"/>
        <v>   </v>
      </c>
      <c r="E11" s="140">
        <f t="shared" si="1"/>
        <v>0</v>
      </c>
    </row>
    <row r="12" spans="1:5" ht="12.75">
      <c r="A12" s="85" t="s">
        <v>26</v>
      </c>
      <c r="B12" s="233">
        <v>0</v>
      </c>
      <c r="C12" s="244">
        <v>0</v>
      </c>
      <c r="D12" s="139" t="str">
        <f t="shared" si="0"/>
        <v>   </v>
      </c>
      <c r="E12" s="140">
        <f t="shared" si="1"/>
        <v>0</v>
      </c>
    </row>
    <row r="13" spans="1:5" ht="16.5" customHeight="1">
      <c r="A13" s="85" t="s">
        <v>9</v>
      </c>
      <c r="B13" s="233">
        <f>SUM(B14:B15)</f>
        <v>5858000</v>
      </c>
      <c r="C13" s="233">
        <f>SUM(C14:C15)</f>
        <v>941281.4099999999</v>
      </c>
      <c r="D13" s="139">
        <f t="shared" si="0"/>
        <v>16.068306759986342</v>
      </c>
      <c r="E13" s="140">
        <f t="shared" si="1"/>
        <v>-4916718.59</v>
      </c>
    </row>
    <row r="14" spans="1:5" ht="12.75">
      <c r="A14" s="85" t="s">
        <v>27</v>
      </c>
      <c r="B14" s="233">
        <v>3405000</v>
      </c>
      <c r="C14" s="244">
        <v>211021.21</v>
      </c>
      <c r="D14" s="139">
        <f t="shared" si="0"/>
        <v>6.197392364170338</v>
      </c>
      <c r="E14" s="140">
        <f t="shared" si="1"/>
        <v>-3193978.79</v>
      </c>
    </row>
    <row r="15" spans="1:5" ht="12.75">
      <c r="A15" s="41" t="s">
        <v>161</v>
      </c>
      <c r="B15" s="31">
        <f>SUM(B16:B17)</f>
        <v>2453000</v>
      </c>
      <c r="C15" s="31">
        <f>SUM(C16:C17)</f>
        <v>730260.2</v>
      </c>
      <c r="D15" s="139">
        <f t="shared" si="0"/>
        <v>29.7700856094578</v>
      </c>
      <c r="E15" s="140">
        <f t="shared" si="1"/>
        <v>-1722739.8</v>
      </c>
    </row>
    <row r="16" spans="1:5" ht="12.75">
      <c r="A16" s="41" t="s">
        <v>162</v>
      </c>
      <c r="B16" s="152">
        <v>974000</v>
      </c>
      <c r="C16" s="244">
        <v>555533.38</v>
      </c>
      <c r="D16" s="139">
        <f t="shared" si="0"/>
        <v>57.03628131416838</v>
      </c>
      <c r="E16" s="140">
        <f t="shared" si="1"/>
        <v>-418466.62</v>
      </c>
    </row>
    <row r="17" spans="1:5" ht="12.75">
      <c r="A17" s="41" t="s">
        <v>163</v>
      </c>
      <c r="B17" s="233">
        <v>1479000</v>
      </c>
      <c r="C17" s="244">
        <v>174726.82</v>
      </c>
      <c r="D17" s="139">
        <f t="shared" si="0"/>
        <v>11.813848546315079</v>
      </c>
      <c r="E17" s="140">
        <f t="shared" si="1"/>
        <v>-1304273.18</v>
      </c>
    </row>
    <row r="18" spans="1:5" ht="12.75">
      <c r="A18" s="85" t="s">
        <v>89</v>
      </c>
      <c r="B18" s="233">
        <v>0</v>
      </c>
      <c r="C18" s="234">
        <v>0</v>
      </c>
      <c r="D18" s="139" t="str">
        <f t="shared" si="0"/>
        <v>   </v>
      </c>
      <c r="E18" s="140">
        <f t="shared" si="1"/>
        <v>0</v>
      </c>
    </row>
    <row r="19" spans="1:5" ht="27" customHeight="1">
      <c r="A19" s="85" t="s">
        <v>28</v>
      </c>
      <c r="B19" s="233">
        <f>SUM(B20:B23)</f>
        <v>1681700</v>
      </c>
      <c r="C19" s="233">
        <f>SUM(C20:C23)</f>
        <v>333756.57999999996</v>
      </c>
      <c r="D19" s="139">
        <f t="shared" si="0"/>
        <v>19.846380448355827</v>
      </c>
      <c r="E19" s="140">
        <f t="shared" si="1"/>
        <v>-1347943.42</v>
      </c>
    </row>
    <row r="20" spans="1:5" ht="12.75">
      <c r="A20" s="86" t="s">
        <v>153</v>
      </c>
      <c r="B20" s="233">
        <v>1180000</v>
      </c>
      <c r="C20" s="244">
        <v>254276.21</v>
      </c>
      <c r="D20" s="154">
        <f t="shared" si="0"/>
        <v>21.5488313559322</v>
      </c>
      <c r="E20" s="155">
        <f t="shared" si="1"/>
        <v>-925723.79</v>
      </c>
    </row>
    <row r="21" spans="1:5" ht="12.75">
      <c r="A21" s="41" t="s">
        <v>152</v>
      </c>
      <c r="B21" s="233">
        <v>0</v>
      </c>
      <c r="C21" s="234">
        <v>0</v>
      </c>
      <c r="D21" s="154" t="str">
        <f t="shared" si="0"/>
        <v>   </v>
      </c>
      <c r="E21" s="155">
        <f t="shared" si="1"/>
        <v>0</v>
      </c>
    </row>
    <row r="22" spans="1:5" ht="24" customHeight="1">
      <c r="A22" s="156" t="s">
        <v>30</v>
      </c>
      <c r="B22" s="233">
        <v>16000</v>
      </c>
      <c r="C22" s="244">
        <v>6484.86</v>
      </c>
      <c r="D22" s="154">
        <f t="shared" si="0"/>
        <v>40.530375</v>
      </c>
      <c r="E22" s="155">
        <f t="shared" si="1"/>
        <v>-9515.14</v>
      </c>
    </row>
    <row r="23" spans="1:5" ht="42" customHeight="1">
      <c r="A23" s="16" t="s">
        <v>202</v>
      </c>
      <c r="B23" s="233">
        <v>485700</v>
      </c>
      <c r="C23" s="244">
        <v>72995.51</v>
      </c>
      <c r="D23" s="154">
        <f t="shared" si="0"/>
        <v>15.02892938027589</v>
      </c>
      <c r="E23" s="155">
        <f t="shared" si="1"/>
        <v>-412704.49</v>
      </c>
    </row>
    <row r="24" spans="1:5" ht="19.5" customHeight="1">
      <c r="A24" s="39" t="s">
        <v>91</v>
      </c>
      <c r="B24" s="233">
        <v>36300</v>
      </c>
      <c r="C24" s="244">
        <v>36301.24</v>
      </c>
      <c r="D24" s="154">
        <f t="shared" si="0"/>
        <v>100.00341597796142</v>
      </c>
      <c r="E24" s="155">
        <f t="shared" si="1"/>
        <v>1.2399999999979627</v>
      </c>
    </row>
    <row r="25" spans="1:5" ht="15.75" customHeight="1">
      <c r="A25" s="156" t="s">
        <v>76</v>
      </c>
      <c r="B25" s="233">
        <f>SUM(B26:B27)</f>
        <v>3496800</v>
      </c>
      <c r="C25" s="233">
        <f>SUM(C26:C27)</f>
        <v>260214.97</v>
      </c>
      <c r="D25" s="154">
        <f t="shared" si="0"/>
        <v>7.441517101349805</v>
      </c>
      <c r="E25" s="155">
        <f t="shared" si="1"/>
        <v>-3236585.03</v>
      </c>
    </row>
    <row r="26" spans="1:5" ht="15.75" customHeight="1">
      <c r="A26" s="16" t="s">
        <v>203</v>
      </c>
      <c r="B26" s="233">
        <v>3468800</v>
      </c>
      <c r="C26" s="233">
        <v>0</v>
      </c>
      <c r="D26" s="154">
        <f t="shared" si="0"/>
        <v>0</v>
      </c>
      <c r="E26" s="155">
        <f t="shared" si="1"/>
        <v>-3468800</v>
      </c>
    </row>
    <row r="27" spans="1:5" ht="25.5" customHeight="1">
      <c r="A27" s="16" t="s">
        <v>233</v>
      </c>
      <c r="B27" s="233">
        <v>28000</v>
      </c>
      <c r="C27" s="244">
        <v>260214.97</v>
      </c>
      <c r="D27" s="154">
        <f t="shared" si="0"/>
        <v>929.3391785714286</v>
      </c>
      <c r="E27" s="155">
        <f t="shared" si="1"/>
        <v>232214.97</v>
      </c>
    </row>
    <row r="28" spans="1:5" ht="15" customHeight="1">
      <c r="A28" s="156" t="s">
        <v>31</v>
      </c>
      <c r="B28" s="233">
        <v>0</v>
      </c>
      <c r="C28" s="233">
        <v>0</v>
      </c>
      <c r="D28" s="154" t="str">
        <f t="shared" si="0"/>
        <v>   </v>
      </c>
      <c r="E28" s="155">
        <f t="shared" si="1"/>
        <v>0</v>
      </c>
    </row>
    <row r="29" spans="1:5" ht="12.75">
      <c r="A29" s="156" t="s">
        <v>32</v>
      </c>
      <c r="B29" s="233">
        <f>B30+B31</f>
        <v>0</v>
      </c>
      <c r="C29" s="233">
        <f>C30+C31</f>
        <v>0</v>
      </c>
      <c r="D29" s="154" t="str">
        <f t="shared" si="0"/>
        <v>   </v>
      </c>
      <c r="E29" s="155">
        <f t="shared" si="1"/>
        <v>0</v>
      </c>
    </row>
    <row r="30" spans="1:5" ht="13.5" customHeight="1">
      <c r="A30" s="156" t="s">
        <v>46</v>
      </c>
      <c r="B30" s="233">
        <v>0</v>
      </c>
      <c r="C30" s="233">
        <v>0</v>
      </c>
      <c r="D30" s="154" t="str">
        <f t="shared" si="0"/>
        <v>   </v>
      </c>
      <c r="E30" s="155">
        <f t="shared" si="1"/>
        <v>0</v>
      </c>
    </row>
    <row r="31" spans="1:5" ht="15.75" customHeight="1">
      <c r="A31" s="156" t="s">
        <v>110</v>
      </c>
      <c r="B31" s="233">
        <v>0</v>
      </c>
      <c r="C31" s="234">
        <v>0</v>
      </c>
      <c r="D31" s="154" t="str">
        <f t="shared" si="0"/>
        <v>   </v>
      </c>
      <c r="E31" s="155">
        <f t="shared" si="1"/>
        <v>0</v>
      </c>
    </row>
    <row r="32" spans="1:5" ht="15" customHeight="1">
      <c r="A32" s="157" t="s">
        <v>10</v>
      </c>
      <c r="B32" s="150">
        <f>SUM(B7,B9,B11,B13,B18,B19,B24,B25,B28,B29,)</f>
        <v>22673700</v>
      </c>
      <c r="C32" s="150">
        <f>SUM(C7,C9,C11,C13,C18,C19,C24,C25,C28,C29,)</f>
        <v>6776370.18</v>
      </c>
      <c r="D32" s="141">
        <f t="shared" si="0"/>
        <v>29.886477196046517</v>
      </c>
      <c r="E32" s="142">
        <f t="shared" si="1"/>
        <v>-15897329.82</v>
      </c>
    </row>
    <row r="33" spans="1:5" ht="18" customHeight="1">
      <c r="A33" s="158" t="s">
        <v>140</v>
      </c>
      <c r="B33" s="189">
        <f>B34+B36+B37+B40+B42+B43+B44+B45+B46+B50+B41</f>
        <v>59443626.15</v>
      </c>
      <c r="C33" s="189">
        <f>C34+C36+C37+C40+C42+C43+C44+C45+C46+C50+C41</f>
        <v>2731549.8</v>
      </c>
      <c r="D33" s="141">
        <f t="shared" si="0"/>
        <v>4.595193760735944</v>
      </c>
      <c r="E33" s="142">
        <f t="shared" si="1"/>
        <v>-56712076.35</v>
      </c>
    </row>
    <row r="34" spans="1:5" ht="15" customHeight="1">
      <c r="A34" s="159" t="s">
        <v>34</v>
      </c>
      <c r="B34" s="160">
        <v>1845600</v>
      </c>
      <c r="C34" s="244">
        <v>922760</v>
      </c>
      <c r="D34" s="154">
        <f t="shared" si="0"/>
        <v>49.99783268313828</v>
      </c>
      <c r="E34" s="155">
        <f t="shared" si="1"/>
        <v>-922840</v>
      </c>
    </row>
    <row r="35" spans="1:5" ht="15" customHeight="1">
      <c r="A35" s="17" t="s">
        <v>232</v>
      </c>
      <c r="B35" s="160">
        <v>0</v>
      </c>
      <c r="C35" s="244">
        <v>0</v>
      </c>
      <c r="D35" s="154" t="str">
        <f>IF(B35=0,"   ",C35/B35*100)</f>
        <v>   </v>
      </c>
      <c r="E35" s="155">
        <f>C35-B35</f>
        <v>0</v>
      </c>
    </row>
    <row r="36" spans="1:5" ht="24.75" customHeight="1">
      <c r="A36" s="156" t="s">
        <v>51</v>
      </c>
      <c r="B36" s="233">
        <v>361400</v>
      </c>
      <c r="C36" s="244">
        <v>207670</v>
      </c>
      <c r="D36" s="154">
        <f t="shared" si="0"/>
        <v>57.46264526840067</v>
      </c>
      <c r="E36" s="155">
        <f t="shared" si="1"/>
        <v>-153730</v>
      </c>
    </row>
    <row r="37" spans="1:5" ht="24.75" customHeight="1">
      <c r="A37" s="156" t="s">
        <v>148</v>
      </c>
      <c r="B37" s="233">
        <f>SUM(B38:B39)</f>
        <v>40000</v>
      </c>
      <c r="C37" s="233">
        <f>SUM(C38:C39)</f>
        <v>0</v>
      </c>
      <c r="D37" s="154">
        <f t="shared" si="0"/>
        <v>0</v>
      </c>
      <c r="E37" s="155">
        <f t="shared" si="1"/>
        <v>-40000</v>
      </c>
    </row>
    <row r="38" spans="1:5" ht="13.5" customHeight="1">
      <c r="A38" s="109" t="s">
        <v>164</v>
      </c>
      <c r="B38" s="233">
        <v>600</v>
      </c>
      <c r="C38" s="234">
        <v>0</v>
      </c>
      <c r="D38" s="154">
        <f>IF(B38=0,"   ",C38/B38*100)</f>
        <v>0</v>
      </c>
      <c r="E38" s="155">
        <f>C38-B38</f>
        <v>-600</v>
      </c>
    </row>
    <row r="39" spans="1:5" ht="24.75" customHeight="1">
      <c r="A39" s="109" t="s">
        <v>165</v>
      </c>
      <c r="B39" s="233">
        <v>39400</v>
      </c>
      <c r="C39" s="234">
        <v>0</v>
      </c>
      <c r="D39" s="154">
        <f>IF(B39=0,"   ",C39/B39*100)</f>
        <v>0</v>
      </c>
      <c r="E39" s="155">
        <f>C39-B39</f>
        <v>-39400</v>
      </c>
    </row>
    <row r="40" spans="1:5" ht="42" customHeight="1">
      <c r="A40" s="156" t="s">
        <v>123</v>
      </c>
      <c r="B40" s="233">
        <v>0</v>
      </c>
      <c r="C40" s="234">
        <v>0</v>
      </c>
      <c r="D40" s="154" t="str">
        <f t="shared" si="0"/>
        <v>   </v>
      </c>
      <c r="E40" s="155">
        <f t="shared" si="1"/>
        <v>0</v>
      </c>
    </row>
    <row r="41" spans="1:5" ht="21" customHeight="1">
      <c r="A41" s="41" t="s">
        <v>171</v>
      </c>
      <c r="B41" s="233">
        <v>0</v>
      </c>
      <c r="C41" s="234">
        <v>0</v>
      </c>
      <c r="D41" s="154" t="str">
        <f t="shared" si="0"/>
        <v>   </v>
      </c>
      <c r="E41" s="155">
        <f t="shared" si="1"/>
        <v>0</v>
      </c>
    </row>
    <row r="42" spans="1:5" ht="47.25" customHeight="1">
      <c r="A42" s="16" t="s">
        <v>220</v>
      </c>
      <c r="B42" s="245">
        <v>6213445.91</v>
      </c>
      <c r="C42" s="246">
        <v>0</v>
      </c>
      <c r="D42" s="186">
        <f>IF(B42=0,"   ",C42/B42)</f>
        <v>0</v>
      </c>
      <c r="E42" s="187">
        <f>C42-B42</f>
        <v>-6213445.91</v>
      </c>
    </row>
    <row r="43" spans="1:5" ht="57" customHeight="1">
      <c r="A43" s="16" t="s">
        <v>270</v>
      </c>
      <c r="B43" s="245">
        <v>1221300</v>
      </c>
      <c r="C43" s="246">
        <v>0</v>
      </c>
      <c r="D43" s="186">
        <f>IF(B43=0,"   ",C43/B43)</f>
        <v>0</v>
      </c>
      <c r="E43" s="187">
        <f>C43-B43</f>
        <v>-1221300</v>
      </c>
    </row>
    <row r="44" spans="1:5" ht="51" customHeight="1">
      <c r="A44" s="16" t="s">
        <v>243</v>
      </c>
      <c r="B44" s="235">
        <v>1612800</v>
      </c>
      <c r="C44" s="236">
        <v>1103789.8</v>
      </c>
      <c r="D44" s="154">
        <f t="shared" si="0"/>
        <v>68.43934771825397</v>
      </c>
      <c r="E44" s="155">
        <f t="shared" si="1"/>
        <v>-509010.19999999995</v>
      </c>
    </row>
    <row r="45" spans="1:5" ht="65.25" customHeight="1">
      <c r="A45" s="194" t="s">
        <v>276</v>
      </c>
      <c r="B45" s="235">
        <v>6082988.39</v>
      </c>
      <c r="C45" s="236">
        <v>0</v>
      </c>
      <c r="D45" s="154"/>
      <c r="E45" s="155">
        <f t="shared" si="1"/>
        <v>-6082988.39</v>
      </c>
    </row>
    <row r="46" spans="1:5" ht="15" customHeight="1">
      <c r="A46" s="156" t="s">
        <v>55</v>
      </c>
      <c r="B46" s="235">
        <f>B49+B47+B48</f>
        <v>41501334.7</v>
      </c>
      <c r="C46" s="235">
        <f>C49+C47+C48</f>
        <v>497330</v>
      </c>
      <c r="D46" s="154">
        <f t="shared" si="0"/>
        <v>1.1983470015965534</v>
      </c>
      <c r="E46" s="155">
        <f t="shared" si="1"/>
        <v>-41004004.7</v>
      </c>
    </row>
    <row r="47" spans="1:5" ht="15" customHeight="1">
      <c r="A47" s="46" t="s">
        <v>189</v>
      </c>
      <c r="B47" s="235">
        <v>1445500</v>
      </c>
      <c r="C47" s="235">
        <v>0</v>
      </c>
      <c r="D47" s="154">
        <f t="shared" si="0"/>
        <v>0</v>
      </c>
      <c r="E47" s="155">
        <f t="shared" si="1"/>
        <v>-1445500</v>
      </c>
    </row>
    <row r="48" spans="1:5" ht="15" customHeight="1">
      <c r="A48" s="16" t="s">
        <v>285</v>
      </c>
      <c r="B48" s="235">
        <v>39181634.7</v>
      </c>
      <c r="C48" s="235">
        <v>0</v>
      </c>
      <c r="D48" s="154">
        <f>IF(B48=0,"   ",C48/B48*100)</f>
        <v>0</v>
      </c>
      <c r="E48" s="155">
        <f>C48-B48</f>
        <v>-39181634.7</v>
      </c>
    </row>
    <row r="49" spans="1:5" ht="18" customHeight="1">
      <c r="A49" s="156" t="s">
        <v>109</v>
      </c>
      <c r="B49" s="235">
        <v>874200</v>
      </c>
      <c r="C49" s="236">
        <v>497330</v>
      </c>
      <c r="D49" s="154">
        <f t="shared" si="0"/>
        <v>56.8897277510867</v>
      </c>
      <c r="E49" s="155">
        <f t="shared" si="1"/>
        <v>-376870</v>
      </c>
    </row>
    <row r="50" spans="1:5" ht="18" customHeight="1">
      <c r="A50" s="156" t="s">
        <v>186</v>
      </c>
      <c r="B50" s="235">
        <v>564757.15</v>
      </c>
      <c r="C50" s="236">
        <v>0</v>
      </c>
      <c r="D50" s="154">
        <f t="shared" si="0"/>
        <v>0</v>
      </c>
      <c r="E50" s="155">
        <f t="shared" si="1"/>
        <v>-564757.15</v>
      </c>
    </row>
    <row r="51" spans="1:5" ht="29.25" customHeight="1">
      <c r="A51" s="157" t="s">
        <v>11</v>
      </c>
      <c r="B51" s="150">
        <f>SUM(B32,B33,)</f>
        <v>82117326.15</v>
      </c>
      <c r="C51" s="150">
        <f>SUM(C32,C33,)</f>
        <v>9507919.98</v>
      </c>
      <c r="D51" s="141">
        <f t="shared" si="0"/>
        <v>11.578457830729064</v>
      </c>
      <c r="E51" s="142">
        <f t="shared" si="1"/>
        <v>-72609406.17</v>
      </c>
    </row>
    <row r="52" spans="1:5" ht="16.5" customHeight="1">
      <c r="A52" s="30"/>
      <c r="B52" s="160"/>
      <c r="C52" s="152"/>
      <c r="D52" s="154" t="str">
        <f t="shared" si="0"/>
        <v>   </v>
      </c>
      <c r="E52" s="155"/>
    </row>
    <row r="53" spans="1:5" ht="12.75">
      <c r="A53" s="161" t="s">
        <v>12</v>
      </c>
      <c r="B53" s="150"/>
      <c r="C53" s="162"/>
      <c r="D53" s="154" t="str">
        <f t="shared" si="0"/>
        <v>   </v>
      </c>
      <c r="E53" s="155"/>
    </row>
    <row r="54" spans="1:5" ht="18" customHeight="1">
      <c r="A54" s="156" t="s">
        <v>35</v>
      </c>
      <c r="B54" s="152">
        <f>SUM(B55,B58,B59)</f>
        <v>3298800</v>
      </c>
      <c r="C54" s="152">
        <f>SUM(C55,C58,C59)</f>
        <v>1470424.54</v>
      </c>
      <c r="D54" s="154">
        <f t="shared" si="0"/>
        <v>44.57452831332606</v>
      </c>
      <c r="E54" s="155">
        <f t="shared" si="1"/>
        <v>-1828375.46</v>
      </c>
    </row>
    <row r="55" spans="1:5" ht="16.5" customHeight="1">
      <c r="A55" s="156" t="s">
        <v>36</v>
      </c>
      <c r="B55" s="152">
        <v>3226800</v>
      </c>
      <c r="C55" s="153">
        <v>1413824.54</v>
      </c>
      <c r="D55" s="154">
        <f t="shared" si="0"/>
        <v>43.815065699764475</v>
      </c>
      <c r="E55" s="155">
        <f t="shared" si="1"/>
        <v>-1812975.46</v>
      </c>
    </row>
    <row r="56" spans="1:5" ht="12.75">
      <c r="A56" s="156" t="s">
        <v>121</v>
      </c>
      <c r="B56" s="152">
        <v>1562519</v>
      </c>
      <c r="C56" s="162">
        <v>879375.05</v>
      </c>
      <c r="D56" s="154">
        <f t="shared" si="0"/>
        <v>56.27931884348286</v>
      </c>
      <c r="E56" s="155">
        <f t="shared" si="1"/>
        <v>-683143.95</v>
      </c>
    </row>
    <row r="57" spans="1:5" ht="12.75">
      <c r="A57" s="85" t="s">
        <v>293</v>
      </c>
      <c r="B57" s="152">
        <v>600</v>
      </c>
      <c r="C57" s="162">
        <v>0</v>
      </c>
      <c r="D57" s="154">
        <f>IF(B57=0,"   ",C57/B57*100)</f>
        <v>0</v>
      </c>
      <c r="E57" s="155">
        <f>C57-B57</f>
        <v>-600</v>
      </c>
    </row>
    <row r="58" spans="1:5" ht="12.75">
      <c r="A58" s="156" t="s">
        <v>95</v>
      </c>
      <c r="B58" s="152">
        <v>10000</v>
      </c>
      <c r="C58" s="162">
        <v>0</v>
      </c>
      <c r="D58" s="154">
        <f t="shared" si="0"/>
        <v>0</v>
      </c>
      <c r="E58" s="155">
        <f t="shared" si="1"/>
        <v>-10000</v>
      </c>
    </row>
    <row r="59" spans="1:5" ht="12.75">
      <c r="A59" s="156" t="s">
        <v>52</v>
      </c>
      <c r="B59" s="153">
        <f>SUM(B60+B62+B63+B61)</f>
        <v>62000</v>
      </c>
      <c r="C59" s="153">
        <f>SUM(C60+C62+C63+C61)</f>
        <v>56600</v>
      </c>
      <c r="D59" s="154">
        <f t="shared" si="0"/>
        <v>91.29032258064517</v>
      </c>
      <c r="E59" s="155">
        <f t="shared" si="1"/>
        <v>-5400</v>
      </c>
    </row>
    <row r="60" spans="1:5" ht="26.25" customHeight="1">
      <c r="A60" s="105" t="s">
        <v>247</v>
      </c>
      <c r="B60" s="152">
        <v>60000</v>
      </c>
      <c r="C60" s="152">
        <v>56600</v>
      </c>
      <c r="D60" s="154">
        <f t="shared" si="0"/>
        <v>94.33333333333334</v>
      </c>
      <c r="E60" s="155">
        <f t="shared" si="1"/>
        <v>-3400</v>
      </c>
    </row>
    <row r="61" spans="1:5" ht="26.25" customHeight="1">
      <c r="A61" s="105" t="s">
        <v>246</v>
      </c>
      <c r="B61" s="152">
        <v>2000</v>
      </c>
      <c r="C61" s="152">
        <v>0</v>
      </c>
      <c r="D61" s="154">
        <f t="shared" si="0"/>
        <v>0</v>
      </c>
      <c r="E61" s="155">
        <f t="shared" si="1"/>
        <v>-2000</v>
      </c>
    </row>
    <row r="62" spans="1:5" ht="26.25" customHeight="1">
      <c r="A62" s="105" t="s">
        <v>254</v>
      </c>
      <c r="B62" s="152">
        <v>0</v>
      </c>
      <c r="C62" s="152">
        <v>0</v>
      </c>
      <c r="D62" s="154" t="str">
        <f t="shared" si="0"/>
        <v>   </v>
      </c>
      <c r="E62" s="155">
        <f t="shared" si="1"/>
        <v>0</v>
      </c>
    </row>
    <row r="63" spans="1:5" ht="12.75">
      <c r="A63" s="16" t="s">
        <v>248</v>
      </c>
      <c r="B63" s="152">
        <v>0</v>
      </c>
      <c r="C63" s="152">
        <v>0</v>
      </c>
      <c r="D63" s="154" t="str">
        <f t="shared" si="0"/>
        <v>   </v>
      </c>
      <c r="E63" s="155">
        <f t="shared" si="1"/>
        <v>0</v>
      </c>
    </row>
    <row r="64" spans="1:5" ht="21" customHeight="1">
      <c r="A64" s="156" t="s">
        <v>49</v>
      </c>
      <c r="B64" s="153">
        <f>SUM(B65)</f>
        <v>361400</v>
      </c>
      <c r="C64" s="153">
        <f>SUM(C65)</f>
        <v>181650.44</v>
      </c>
      <c r="D64" s="154">
        <f t="shared" si="0"/>
        <v>50.26298837852795</v>
      </c>
      <c r="E64" s="155">
        <f t="shared" si="1"/>
        <v>-179749.56</v>
      </c>
    </row>
    <row r="65" spans="1:5" ht="17.25" customHeight="1">
      <c r="A65" s="156" t="s">
        <v>107</v>
      </c>
      <c r="B65" s="152">
        <v>361400</v>
      </c>
      <c r="C65" s="153">
        <v>181650.44</v>
      </c>
      <c r="D65" s="154">
        <f t="shared" si="0"/>
        <v>50.26298837852795</v>
      </c>
      <c r="E65" s="155">
        <f t="shared" si="1"/>
        <v>-179749.56</v>
      </c>
    </row>
    <row r="66" spans="1:5" ht="15.75" customHeight="1">
      <c r="A66" s="156" t="s">
        <v>37</v>
      </c>
      <c r="B66" s="153">
        <f>SUM(B67+B70)</f>
        <v>982400</v>
      </c>
      <c r="C66" s="153">
        <f>SUM(C67+C70)</f>
        <v>320574</v>
      </c>
      <c r="D66" s="154">
        <f t="shared" si="0"/>
        <v>32.63171824104234</v>
      </c>
      <c r="E66" s="155">
        <f t="shared" si="1"/>
        <v>-661826</v>
      </c>
    </row>
    <row r="67" spans="1:5" ht="27" customHeight="1">
      <c r="A67" s="156" t="s">
        <v>86</v>
      </c>
      <c r="B67" s="152">
        <f>B68</f>
        <v>928400</v>
      </c>
      <c r="C67" s="152">
        <v>320574</v>
      </c>
      <c r="D67" s="154">
        <f t="shared" si="0"/>
        <v>34.52972856527359</v>
      </c>
      <c r="E67" s="155">
        <f t="shared" si="1"/>
        <v>-607826</v>
      </c>
    </row>
    <row r="68" spans="1:5" ht="16.5" customHeight="1">
      <c r="A68" s="156" t="s">
        <v>96</v>
      </c>
      <c r="B68" s="152">
        <v>928400</v>
      </c>
      <c r="C68" s="152">
        <v>320574</v>
      </c>
      <c r="D68" s="154">
        <f t="shared" si="0"/>
        <v>34.52972856527359</v>
      </c>
      <c r="E68" s="155">
        <f t="shared" si="1"/>
        <v>-607826</v>
      </c>
    </row>
    <row r="69" spans="1:5" ht="14.25" customHeight="1">
      <c r="A69" s="156" t="s">
        <v>121</v>
      </c>
      <c r="B69" s="152">
        <v>687711</v>
      </c>
      <c r="C69" s="153">
        <v>247815.36</v>
      </c>
      <c r="D69" s="154">
        <f t="shared" si="0"/>
        <v>36.03481113432822</v>
      </c>
      <c r="E69" s="155">
        <f t="shared" si="1"/>
        <v>-439895.64</v>
      </c>
    </row>
    <row r="70" spans="1:5" ht="17.25" customHeight="1">
      <c r="A70" s="156" t="s">
        <v>127</v>
      </c>
      <c r="B70" s="152">
        <v>54000</v>
      </c>
      <c r="C70" s="153">
        <v>0</v>
      </c>
      <c r="D70" s="154">
        <f t="shared" si="0"/>
        <v>0</v>
      </c>
      <c r="E70" s="155">
        <f t="shared" si="1"/>
        <v>-54000</v>
      </c>
    </row>
    <row r="71" spans="1:5" ht="18" customHeight="1">
      <c r="A71" s="156" t="s">
        <v>38</v>
      </c>
      <c r="B71" s="152">
        <f>B79+B74+B77+B90+B72</f>
        <v>5775313.82</v>
      </c>
      <c r="C71" s="152">
        <f>C79+C74+C77+C90+C72</f>
        <v>1334909.73</v>
      </c>
      <c r="D71" s="154">
        <f t="shared" si="0"/>
        <v>23.114063955748815</v>
      </c>
      <c r="E71" s="155">
        <f t="shared" si="1"/>
        <v>-4440404.09</v>
      </c>
    </row>
    <row r="72" spans="1:5" ht="18" customHeight="1">
      <c r="A72" s="127" t="s">
        <v>244</v>
      </c>
      <c r="B72" s="25">
        <f>SUM(B73)</f>
        <v>271300</v>
      </c>
      <c r="C72" s="25">
        <f>SUM(C73)</f>
        <v>59450.53</v>
      </c>
      <c r="D72" s="154">
        <f t="shared" si="0"/>
        <v>21.913206782159968</v>
      </c>
      <c r="E72" s="155">
        <f t="shared" si="1"/>
        <v>-211849.47</v>
      </c>
    </row>
    <row r="73" spans="1:5" ht="18" customHeight="1">
      <c r="A73" s="127" t="s">
        <v>245</v>
      </c>
      <c r="B73" s="152">
        <v>271300</v>
      </c>
      <c r="C73" s="152">
        <v>59450.53</v>
      </c>
      <c r="D73" s="154">
        <f t="shared" si="0"/>
        <v>21.913206782159968</v>
      </c>
      <c r="E73" s="155">
        <f t="shared" si="1"/>
        <v>-211849.47</v>
      </c>
    </row>
    <row r="74" spans="1:5" ht="18" customHeight="1">
      <c r="A74" s="75" t="s">
        <v>166</v>
      </c>
      <c r="B74" s="25">
        <f>SUM(B76,B75)</f>
        <v>99400</v>
      </c>
      <c r="C74" s="25">
        <f>SUM(C76,C75)</f>
        <v>0</v>
      </c>
      <c r="D74" s="154">
        <f>IF(B74=0,"   ",C74/B74*100)</f>
        <v>0</v>
      </c>
      <c r="E74" s="155">
        <f>C74-B74</f>
        <v>-99400</v>
      </c>
    </row>
    <row r="75" spans="1:5" ht="18" customHeight="1">
      <c r="A75" s="75" t="s">
        <v>170</v>
      </c>
      <c r="B75" s="25">
        <v>60000</v>
      </c>
      <c r="C75" s="25">
        <v>0</v>
      </c>
      <c r="D75" s="154">
        <f>IF(B75=0,"   ",C75/B75*100)</f>
        <v>0</v>
      </c>
      <c r="E75" s="155">
        <f>C75-B75</f>
        <v>-60000</v>
      </c>
    </row>
    <row r="76" spans="1:5" ht="18" customHeight="1">
      <c r="A76" s="75" t="s">
        <v>167</v>
      </c>
      <c r="B76" s="25">
        <v>39400</v>
      </c>
      <c r="C76" s="152">
        <v>0</v>
      </c>
      <c r="D76" s="154">
        <f>IF(B76=0,"   ",C76/B76*100)</f>
        <v>0</v>
      </c>
      <c r="E76" s="155">
        <f>C76-B76</f>
        <v>-39400</v>
      </c>
    </row>
    <row r="77" spans="1:5" ht="18" customHeight="1">
      <c r="A77" s="75" t="s">
        <v>234</v>
      </c>
      <c r="B77" s="25">
        <f>SUM(B78)</f>
        <v>0</v>
      </c>
      <c r="C77" s="25">
        <f>SUM(C78)</f>
        <v>0</v>
      </c>
      <c r="D77" s="154" t="str">
        <f>IF(B77=0,"   ",C77/B77*100)</f>
        <v>   </v>
      </c>
      <c r="E77" s="155">
        <f>C77-B77</f>
        <v>0</v>
      </c>
    </row>
    <row r="78" spans="1:5" ht="18" customHeight="1">
      <c r="A78" s="75" t="s">
        <v>235</v>
      </c>
      <c r="B78" s="25">
        <v>0</v>
      </c>
      <c r="C78" s="152">
        <v>0</v>
      </c>
      <c r="D78" s="154" t="str">
        <f>IF(B78=0,"   ",C78/B78*100)</f>
        <v>   </v>
      </c>
      <c r="E78" s="155">
        <f>C78-B78</f>
        <v>0</v>
      </c>
    </row>
    <row r="79" spans="1:5" ht="18.75" customHeight="1">
      <c r="A79" s="164" t="s">
        <v>131</v>
      </c>
      <c r="B79" s="152">
        <f>SUM(B80:B89)</f>
        <v>5304613.82</v>
      </c>
      <c r="C79" s="152">
        <f>SUM(C80:C89)</f>
        <v>1210459.2</v>
      </c>
      <c r="D79" s="154">
        <f t="shared" si="0"/>
        <v>22.818988169057704</v>
      </c>
      <c r="E79" s="155">
        <f t="shared" si="1"/>
        <v>-4094154.62</v>
      </c>
    </row>
    <row r="80" spans="1:5" ht="30" customHeight="1">
      <c r="A80" s="75" t="s">
        <v>149</v>
      </c>
      <c r="B80" s="152">
        <v>300000</v>
      </c>
      <c r="C80" s="152">
        <v>131401</v>
      </c>
      <c r="D80" s="154">
        <f t="shared" si="0"/>
        <v>43.800333333333334</v>
      </c>
      <c r="E80" s="155">
        <f t="shared" si="1"/>
        <v>-168599</v>
      </c>
    </row>
    <row r="81" spans="1:5" ht="28.5" customHeight="1">
      <c r="A81" s="71" t="s">
        <v>262</v>
      </c>
      <c r="B81" s="152">
        <v>0</v>
      </c>
      <c r="C81" s="152">
        <v>0</v>
      </c>
      <c r="D81" s="154" t="str">
        <f t="shared" si="0"/>
        <v>   </v>
      </c>
      <c r="E81" s="155">
        <f t="shared" si="1"/>
        <v>0</v>
      </c>
    </row>
    <row r="82" spans="1:5" ht="27" customHeight="1">
      <c r="A82" s="71" t="s">
        <v>263</v>
      </c>
      <c r="B82" s="152">
        <v>848513.82</v>
      </c>
      <c r="C82" s="152">
        <v>499219</v>
      </c>
      <c r="D82" s="154">
        <f t="shared" si="0"/>
        <v>58.83451609544792</v>
      </c>
      <c r="E82" s="155">
        <f t="shared" si="1"/>
        <v>-349294.81999999995</v>
      </c>
    </row>
    <row r="83" spans="1:5" ht="30" customHeight="1">
      <c r="A83" s="71" t="s">
        <v>264</v>
      </c>
      <c r="B83" s="152">
        <v>1221300</v>
      </c>
      <c r="C83" s="152">
        <v>0</v>
      </c>
      <c r="D83" s="154">
        <f t="shared" si="0"/>
        <v>0</v>
      </c>
      <c r="E83" s="155">
        <f t="shared" si="1"/>
        <v>-1221300</v>
      </c>
    </row>
    <row r="84" spans="1:5" ht="35.25" customHeight="1">
      <c r="A84" s="71" t="s">
        <v>265</v>
      </c>
      <c r="B84" s="152">
        <v>135700</v>
      </c>
      <c r="C84" s="152">
        <v>6754</v>
      </c>
      <c r="D84" s="154">
        <f t="shared" si="0"/>
        <v>4.977155490051585</v>
      </c>
      <c r="E84" s="155">
        <f t="shared" si="1"/>
        <v>-128946</v>
      </c>
    </row>
    <row r="85" spans="1:5" ht="35.25" customHeight="1">
      <c r="A85" s="71" t="s">
        <v>266</v>
      </c>
      <c r="B85" s="152">
        <v>874200</v>
      </c>
      <c r="C85" s="152">
        <v>463492</v>
      </c>
      <c r="D85" s="154">
        <f t="shared" si="0"/>
        <v>53.01898878975063</v>
      </c>
      <c r="E85" s="155">
        <f t="shared" si="1"/>
        <v>-410708</v>
      </c>
    </row>
    <row r="86" spans="1:5" ht="30" customHeight="1">
      <c r="A86" s="71" t="s">
        <v>267</v>
      </c>
      <c r="B86" s="152">
        <v>97200</v>
      </c>
      <c r="C86" s="152">
        <v>51499</v>
      </c>
      <c r="D86" s="154">
        <f t="shared" si="0"/>
        <v>52.98251028806584</v>
      </c>
      <c r="E86" s="155">
        <f t="shared" si="1"/>
        <v>-45701</v>
      </c>
    </row>
    <row r="87" spans="1:5" ht="30" customHeight="1">
      <c r="A87" s="75" t="s">
        <v>273</v>
      </c>
      <c r="B87" s="152">
        <v>130000</v>
      </c>
      <c r="C87" s="152">
        <v>0</v>
      </c>
      <c r="D87" s="154">
        <f t="shared" si="0"/>
        <v>0</v>
      </c>
      <c r="E87" s="155">
        <f t="shared" si="1"/>
        <v>-130000</v>
      </c>
    </row>
    <row r="88" spans="1:5" ht="25.5" customHeight="1">
      <c r="A88" s="163" t="s">
        <v>141</v>
      </c>
      <c r="B88" s="84">
        <v>1612800</v>
      </c>
      <c r="C88" s="152">
        <v>0</v>
      </c>
      <c r="D88" s="154">
        <f t="shared" si="0"/>
        <v>0</v>
      </c>
      <c r="E88" s="155">
        <f t="shared" si="1"/>
        <v>-1612800</v>
      </c>
    </row>
    <row r="89" spans="1:5" ht="32.25" customHeight="1">
      <c r="A89" s="105" t="s">
        <v>249</v>
      </c>
      <c r="B89" s="152">
        <v>84900</v>
      </c>
      <c r="C89" s="152">
        <v>58094.2</v>
      </c>
      <c r="D89" s="154">
        <f t="shared" si="0"/>
        <v>68.4266195524146</v>
      </c>
      <c r="E89" s="155">
        <f t="shared" si="1"/>
        <v>-26805.800000000003</v>
      </c>
    </row>
    <row r="90" spans="1:5" ht="13.5">
      <c r="A90" s="96" t="s">
        <v>178</v>
      </c>
      <c r="B90" s="188">
        <f>B91</f>
        <v>100000</v>
      </c>
      <c r="C90" s="188">
        <f>C91</f>
        <v>65000</v>
      </c>
      <c r="D90" s="186">
        <f>IF(B90=0,"   ",C90/B90)</f>
        <v>0.65</v>
      </c>
      <c r="E90" s="187">
        <f>C90-B90</f>
        <v>-35000</v>
      </c>
    </row>
    <row r="91" spans="1:5" ht="26.25">
      <c r="A91" s="105" t="s">
        <v>155</v>
      </c>
      <c r="B91" s="188">
        <v>100000</v>
      </c>
      <c r="C91" s="188">
        <v>65000</v>
      </c>
      <c r="D91" s="186">
        <f>IF(B91=0,"   ",C91/B91)</f>
        <v>0.65</v>
      </c>
      <c r="E91" s="187">
        <f>C91-B91</f>
        <v>-35000</v>
      </c>
    </row>
    <row r="92" spans="1:5" ht="26.25">
      <c r="A92" s="75" t="s">
        <v>179</v>
      </c>
      <c r="B92" s="188">
        <v>0</v>
      </c>
      <c r="C92" s="188">
        <v>0</v>
      </c>
      <c r="D92" s="186" t="str">
        <f>IF(B92=0,"   ",C92/B92)</f>
        <v>   </v>
      </c>
      <c r="E92" s="187">
        <f>C92-B92</f>
        <v>0</v>
      </c>
    </row>
    <row r="93" spans="1:5" ht="18" customHeight="1">
      <c r="A93" s="156" t="s">
        <v>13</v>
      </c>
      <c r="B93" s="152">
        <f>SUM(B94,B97,B106)</f>
        <v>58518737.760000005</v>
      </c>
      <c r="C93" s="152">
        <f>SUM(C94,C97,C106)</f>
        <v>3563275.71</v>
      </c>
      <c r="D93" s="154">
        <f t="shared" si="0"/>
        <v>6.089119222998087</v>
      </c>
      <c r="E93" s="155">
        <f t="shared" si="1"/>
        <v>-54955462.050000004</v>
      </c>
    </row>
    <row r="94" spans="1:5" ht="18.75" customHeight="1">
      <c r="A94" s="86" t="s">
        <v>14</v>
      </c>
      <c r="B94" s="87">
        <f>SUM(B95:B96)</f>
        <v>412790.5</v>
      </c>
      <c r="C94" s="87">
        <f>SUM(C95:C96)</f>
        <v>81830.38</v>
      </c>
      <c r="D94" s="154">
        <f t="shared" si="0"/>
        <v>19.82370718318372</v>
      </c>
      <c r="E94" s="155">
        <f t="shared" si="1"/>
        <v>-330960.12</v>
      </c>
    </row>
    <row r="95" spans="1:5" ht="12.75">
      <c r="A95" s="156" t="s">
        <v>101</v>
      </c>
      <c r="B95" s="152">
        <v>300000</v>
      </c>
      <c r="C95" s="153">
        <v>81830.38</v>
      </c>
      <c r="D95" s="154">
        <f t="shared" si="0"/>
        <v>27.276793333333334</v>
      </c>
      <c r="E95" s="155">
        <f t="shared" si="1"/>
        <v>-218169.62</v>
      </c>
    </row>
    <row r="96" spans="1:5" ht="12.75">
      <c r="A96" s="156" t="s">
        <v>184</v>
      </c>
      <c r="B96" s="152">
        <v>112790.5</v>
      </c>
      <c r="C96" s="153">
        <v>0</v>
      </c>
      <c r="D96" s="154">
        <f t="shared" si="0"/>
        <v>0</v>
      </c>
      <c r="E96" s="155">
        <f t="shared" si="1"/>
        <v>-112790.5</v>
      </c>
    </row>
    <row r="97" spans="1:5" ht="18" customHeight="1">
      <c r="A97" s="86" t="s">
        <v>64</v>
      </c>
      <c r="B97" s="87">
        <f>SUM(B98:B100,B104,B105)</f>
        <v>590400</v>
      </c>
      <c r="C97" s="87">
        <f>SUM(C98:C100,C104,C105)</f>
        <v>264025</v>
      </c>
      <c r="D97" s="154">
        <f t="shared" si="0"/>
        <v>44.71968157181572</v>
      </c>
      <c r="E97" s="155">
        <f t="shared" si="1"/>
        <v>-326375</v>
      </c>
    </row>
    <row r="98" spans="1:5" ht="12.75">
      <c r="A98" s="156" t="s">
        <v>142</v>
      </c>
      <c r="B98" s="152">
        <v>100000</v>
      </c>
      <c r="C98" s="152">
        <v>0</v>
      </c>
      <c r="D98" s="154">
        <f t="shared" si="0"/>
        <v>0</v>
      </c>
      <c r="E98" s="155">
        <f t="shared" si="1"/>
        <v>-100000</v>
      </c>
    </row>
    <row r="99" spans="1:5" ht="12.75">
      <c r="A99" s="16" t="s">
        <v>158</v>
      </c>
      <c r="B99" s="152">
        <v>190400</v>
      </c>
      <c r="C99" s="152">
        <v>120025</v>
      </c>
      <c r="D99" s="154">
        <f t="shared" si="0"/>
        <v>63.03834033613446</v>
      </c>
      <c r="E99" s="155">
        <f t="shared" si="1"/>
        <v>-70375</v>
      </c>
    </row>
    <row r="100" spans="1:5" ht="26.25">
      <c r="A100" s="105" t="s">
        <v>207</v>
      </c>
      <c r="B100" s="199">
        <f>SUM(B101:B103)</f>
        <v>0</v>
      </c>
      <c r="C100" s="199">
        <f>SUM(C101:C103)</f>
        <v>0</v>
      </c>
      <c r="D100" s="154" t="str">
        <f>IF(B100=0,"   ",C100/B100*100)</f>
        <v>   </v>
      </c>
      <c r="E100" s="155">
        <f>C100-B100</f>
        <v>0</v>
      </c>
    </row>
    <row r="101" spans="1:5" ht="26.25">
      <c r="A101" s="105" t="s">
        <v>188</v>
      </c>
      <c r="B101" s="152">
        <v>0</v>
      </c>
      <c r="C101" s="152">
        <v>0</v>
      </c>
      <c r="D101" s="154" t="str">
        <f>IF(B101=0,"   ",C101/B101*100)</f>
        <v>   </v>
      </c>
      <c r="E101" s="155">
        <f>C101-B101</f>
        <v>0</v>
      </c>
    </row>
    <row r="102" spans="1:5" ht="26.25">
      <c r="A102" s="105" t="s">
        <v>201</v>
      </c>
      <c r="B102" s="152">
        <v>0</v>
      </c>
      <c r="C102" s="152">
        <v>0</v>
      </c>
      <c r="D102" s="154" t="str">
        <f t="shared" si="0"/>
        <v>   </v>
      </c>
      <c r="E102" s="155">
        <f t="shared" si="1"/>
        <v>0</v>
      </c>
    </row>
    <row r="103" spans="1:5" ht="26.25">
      <c r="A103" s="105" t="s">
        <v>213</v>
      </c>
      <c r="B103" s="152">
        <v>0</v>
      </c>
      <c r="C103" s="152">
        <v>0</v>
      </c>
      <c r="D103" s="154" t="str">
        <f t="shared" si="0"/>
        <v>   </v>
      </c>
      <c r="E103" s="155">
        <f t="shared" si="1"/>
        <v>0</v>
      </c>
    </row>
    <row r="104" spans="1:5" ht="12.75">
      <c r="A104" s="16" t="s">
        <v>250</v>
      </c>
      <c r="B104" s="152">
        <v>0</v>
      </c>
      <c r="C104" s="152">
        <v>0</v>
      </c>
      <c r="D104" s="154" t="str">
        <f t="shared" si="0"/>
        <v>   </v>
      </c>
      <c r="E104" s="155">
        <f t="shared" si="1"/>
        <v>0</v>
      </c>
    </row>
    <row r="105" spans="1:5" ht="12.75">
      <c r="A105" s="156" t="s">
        <v>135</v>
      </c>
      <c r="B105" s="152">
        <v>300000</v>
      </c>
      <c r="C105" s="152">
        <v>144000</v>
      </c>
      <c r="D105" s="154">
        <f t="shared" si="0"/>
        <v>48</v>
      </c>
      <c r="E105" s="155">
        <f t="shared" si="1"/>
        <v>-156000</v>
      </c>
    </row>
    <row r="106" spans="1:5" ht="16.5" customHeight="1">
      <c r="A106" s="86" t="s">
        <v>63</v>
      </c>
      <c r="B106" s="87">
        <f>B107+B109+B110+B111+B112+B113+B117+B121+B122+B108</f>
        <v>57515547.260000005</v>
      </c>
      <c r="C106" s="87">
        <f>C107+C109+C110+C111+C112+C113+C117+C121+C122+C108</f>
        <v>3217420.33</v>
      </c>
      <c r="D106" s="154">
        <f t="shared" si="0"/>
        <v>5.594001071493934</v>
      </c>
      <c r="E106" s="155">
        <f t="shared" si="1"/>
        <v>-54298126.93000001</v>
      </c>
    </row>
    <row r="107" spans="1:5" ht="12.75">
      <c r="A107" s="156" t="s">
        <v>65</v>
      </c>
      <c r="B107" s="152">
        <v>4090000</v>
      </c>
      <c r="C107" s="153">
        <v>1923907.45</v>
      </c>
      <c r="D107" s="154">
        <f t="shared" si="0"/>
        <v>47.03930195599022</v>
      </c>
      <c r="E107" s="155">
        <f t="shared" si="1"/>
        <v>-2166092.55</v>
      </c>
    </row>
    <row r="108" spans="1:5" ht="26.25">
      <c r="A108" s="16" t="s">
        <v>219</v>
      </c>
      <c r="B108" s="152">
        <v>6000</v>
      </c>
      <c r="C108" s="153">
        <v>0</v>
      </c>
      <c r="D108" s="154">
        <f t="shared" si="0"/>
        <v>0</v>
      </c>
      <c r="E108" s="155">
        <f t="shared" si="1"/>
        <v>-6000</v>
      </c>
    </row>
    <row r="109" spans="1:5" ht="12.75">
      <c r="A109" s="156" t="s">
        <v>66</v>
      </c>
      <c r="B109" s="152">
        <v>263000</v>
      </c>
      <c r="C109" s="153">
        <v>0</v>
      </c>
      <c r="D109" s="154">
        <f aca="true" t="shared" si="2" ref="D109:D141">IF(B109=0,"   ",C109/B109*100)</f>
        <v>0</v>
      </c>
      <c r="E109" s="155">
        <f t="shared" si="1"/>
        <v>-263000</v>
      </c>
    </row>
    <row r="110" spans="1:5" ht="12.75">
      <c r="A110" s="156" t="s">
        <v>67</v>
      </c>
      <c r="B110" s="152">
        <v>100000</v>
      </c>
      <c r="C110" s="153">
        <v>29028</v>
      </c>
      <c r="D110" s="154">
        <f t="shared" si="2"/>
        <v>29.028</v>
      </c>
      <c r="E110" s="155">
        <f t="shared" si="1"/>
        <v>-70972</v>
      </c>
    </row>
    <row r="111" spans="1:5" ht="12.75">
      <c r="A111" s="156" t="s">
        <v>68</v>
      </c>
      <c r="B111" s="152">
        <v>1520921.11</v>
      </c>
      <c r="C111" s="153">
        <v>655784.88</v>
      </c>
      <c r="D111" s="154">
        <f t="shared" si="2"/>
        <v>43.11761311538374</v>
      </c>
      <c r="E111" s="155">
        <f t="shared" si="1"/>
        <v>-865136.2300000001</v>
      </c>
    </row>
    <row r="112" spans="1:5" ht="14.25" customHeight="1">
      <c r="A112" s="156" t="s">
        <v>94</v>
      </c>
      <c r="B112" s="152">
        <v>0</v>
      </c>
      <c r="C112" s="153">
        <v>0</v>
      </c>
      <c r="D112" s="154" t="str">
        <f t="shared" si="2"/>
        <v>   </v>
      </c>
      <c r="E112" s="155">
        <f t="shared" si="1"/>
        <v>0</v>
      </c>
    </row>
    <row r="113" spans="1:5" ht="18" customHeight="1">
      <c r="A113" s="163" t="s">
        <v>183</v>
      </c>
      <c r="B113" s="188">
        <f>B114+B116+B115</f>
        <v>6213445.91</v>
      </c>
      <c r="C113" s="188">
        <f>C114+C116+C115</f>
        <v>0</v>
      </c>
      <c r="D113" s="186">
        <f aca="true" t="shared" si="3" ref="D113:D125">IF(B113=0,"   ",C113/B113)</f>
        <v>0</v>
      </c>
      <c r="E113" s="187">
        <f aca="true" t="shared" si="4" ref="E113:E125">C113-B113</f>
        <v>-6213445.91</v>
      </c>
    </row>
    <row r="114" spans="1:5" ht="13.5">
      <c r="A114" s="163" t="s">
        <v>181</v>
      </c>
      <c r="B114" s="188">
        <v>6151311.44</v>
      </c>
      <c r="C114" s="188">
        <v>0</v>
      </c>
      <c r="D114" s="186">
        <f t="shared" si="3"/>
        <v>0</v>
      </c>
      <c r="E114" s="187">
        <f t="shared" si="4"/>
        <v>-6151311.44</v>
      </c>
    </row>
    <row r="115" spans="1:5" ht="13.5">
      <c r="A115" s="163" t="s">
        <v>182</v>
      </c>
      <c r="B115" s="188">
        <v>43494.12</v>
      </c>
      <c r="C115" s="188">
        <v>0</v>
      </c>
      <c r="D115" s="186">
        <f t="shared" si="3"/>
        <v>0</v>
      </c>
      <c r="E115" s="187">
        <f t="shared" si="4"/>
        <v>-43494.12</v>
      </c>
    </row>
    <row r="116" spans="1:5" ht="13.5">
      <c r="A116" s="105" t="s">
        <v>193</v>
      </c>
      <c r="B116" s="188">
        <v>18640.35</v>
      </c>
      <c r="C116" s="188">
        <v>0</v>
      </c>
      <c r="D116" s="186">
        <f t="shared" si="3"/>
        <v>0</v>
      </c>
      <c r="E116" s="187">
        <f t="shared" si="4"/>
        <v>-18640.35</v>
      </c>
    </row>
    <row r="117" spans="1:5" ht="26.25">
      <c r="A117" s="105" t="s">
        <v>207</v>
      </c>
      <c r="B117" s="188">
        <f>SUM(B118:B120)</f>
        <v>2032498.8</v>
      </c>
      <c r="C117" s="188">
        <f>SUM(C118:C120)</f>
        <v>0</v>
      </c>
      <c r="D117" s="154">
        <f>IF(B117=0,"   ",C117/B117*100)</f>
        <v>0</v>
      </c>
      <c r="E117" s="155">
        <f t="shared" si="4"/>
        <v>-2032498.8</v>
      </c>
    </row>
    <row r="118" spans="1:5" ht="26.25">
      <c r="A118" s="105" t="s">
        <v>188</v>
      </c>
      <c r="B118" s="188">
        <v>1445500</v>
      </c>
      <c r="C118" s="188">
        <v>0</v>
      </c>
      <c r="D118" s="154">
        <f>IF(B118=0,"   ",C118/B118*100)</f>
        <v>0</v>
      </c>
      <c r="E118" s="155">
        <f t="shared" si="4"/>
        <v>-1445500</v>
      </c>
    </row>
    <row r="119" spans="1:5" ht="26.25">
      <c r="A119" s="105" t="s">
        <v>201</v>
      </c>
      <c r="B119" s="188">
        <v>440249.1</v>
      </c>
      <c r="C119" s="188">
        <v>0</v>
      </c>
      <c r="D119" s="154">
        <f>IF(B119=0,"   ",C119/B119*100)</f>
        <v>0</v>
      </c>
      <c r="E119" s="155">
        <f t="shared" si="4"/>
        <v>-440249.1</v>
      </c>
    </row>
    <row r="120" spans="1:5" ht="26.25">
      <c r="A120" s="105" t="s">
        <v>213</v>
      </c>
      <c r="B120" s="188">
        <v>146749.7</v>
      </c>
      <c r="C120" s="188">
        <v>0</v>
      </c>
      <c r="D120" s="154">
        <f>IF(B120=0,"   ",C120/B120*100)</f>
        <v>0</v>
      </c>
      <c r="E120" s="155">
        <f t="shared" si="4"/>
        <v>-146749.7</v>
      </c>
    </row>
    <row r="121" spans="1:5" ht="13.5">
      <c r="A121" s="105" t="s">
        <v>255</v>
      </c>
      <c r="B121" s="188">
        <v>1600000</v>
      </c>
      <c r="C121" s="188">
        <v>608700</v>
      </c>
      <c r="D121" s="186">
        <f t="shared" si="3"/>
        <v>0.3804375</v>
      </c>
      <c r="E121" s="187">
        <f t="shared" si="4"/>
        <v>-991300</v>
      </c>
    </row>
    <row r="122" spans="1:5" ht="17.25" customHeight="1">
      <c r="A122" s="105" t="s">
        <v>294</v>
      </c>
      <c r="B122" s="188">
        <f>SUM(B123:B125)</f>
        <v>41689681.440000005</v>
      </c>
      <c r="C122" s="188">
        <f>SUM(C123:C125)</f>
        <v>0</v>
      </c>
      <c r="D122" s="154">
        <f>IF(B122=0,"   ",C122/B122*100)</f>
        <v>0</v>
      </c>
      <c r="E122" s="155">
        <f>C122-B122</f>
        <v>-41689681.440000005</v>
      </c>
    </row>
    <row r="123" spans="1:5" ht="24" customHeight="1">
      <c r="A123" s="105" t="s">
        <v>278</v>
      </c>
      <c r="B123" s="153">
        <v>39181634.7</v>
      </c>
      <c r="C123" s="188">
        <v>0</v>
      </c>
      <c r="D123" s="154">
        <f>IF(B123=0,"   ",C123/B123*100)</f>
        <v>0</v>
      </c>
      <c r="E123" s="155">
        <f>C123-B123</f>
        <v>-39181634.7</v>
      </c>
    </row>
    <row r="124" spans="1:5" ht="24" customHeight="1">
      <c r="A124" s="105" t="s">
        <v>295</v>
      </c>
      <c r="B124" s="153">
        <v>2090039.29</v>
      </c>
      <c r="C124" s="188">
        <v>0</v>
      </c>
      <c r="D124" s="154">
        <f>IF(B124=0,"   ",C124/B124*100)</f>
        <v>0</v>
      </c>
      <c r="E124" s="155">
        <f>C124-B124</f>
        <v>-2090039.29</v>
      </c>
    </row>
    <row r="125" spans="1:5" ht="29.25" customHeight="1">
      <c r="A125" s="105" t="s">
        <v>296</v>
      </c>
      <c r="B125" s="153">
        <v>418007.45</v>
      </c>
      <c r="C125" s="188">
        <v>0</v>
      </c>
      <c r="D125" s="186">
        <f t="shared" si="3"/>
        <v>0</v>
      </c>
      <c r="E125" s="187">
        <f t="shared" si="4"/>
        <v>-418007.45</v>
      </c>
    </row>
    <row r="126" spans="1:5" ht="15" customHeight="1">
      <c r="A126" s="165" t="s">
        <v>17</v>
      </c>
      <c r="B126" s="166">
        <v>0</v>
      </c>
      <c r="C126" s="166">
        <v>0</v>
      </c>
      <c r="D126" s="167" t="str">
        <f t="shared" si="2"/>
        <v>   </v>
      </c>
      <c r="E126" s="168">
        <f t="shared" si="1"/>
        <v>0</v>
      </c>
    </row>
    <row r="127" spans="1:5" ht="18.75" customHeight="1">
      <c r="A127" s="169" t="s">
        <v>41</v>
      </c>
      <c r="B127" s="170">
        <f>B128</f>
        <v>13527476.78</v>
      </c>
      <c r="C127" s="170">
        <f>C128</f>
        <v>738357.01</v>
      </c>
      <c r="D127" s="167">
        <f t="shared" si="2"/>
        <v>5.458202013635244</v>
      </c>
      <c r="E127" s="168">
        <f t="shared" si="1"/>
        <v>-12789119.77</v>
      </c>
    </row>
    <row r="128" spans="1:5" ht="15.75" customHeight="1">
      <c r="A128" s="169" t="s">
        <v>42</v>
      </c>
      <c r="B128" s="87">
        <f>B129+B130+B131+B133+B132</f>
        <v>13527476.78</v>
      </c>
      <c r="C128" s="87">
        <f>C129+C130+C131+C133+C132</f>
        <v>738357.01</v>
      </c>
      <c r="D128" s="167">
        <f t="shared" si="2"/>
        <v>5.458202013635244</v>
      </c>
      <c r="E128" s="168">
        <f t="shared" si="1"/>
        <v>-12789119.77</v>
      </c>
    </row>
    <row r="129" spans="1:5" ht="19.5" customHeight="1">
      <c r="A129" s="169" t="s">
        <v>143</v>
      </c>
      <c r="B129" s="166">
        <v>3916900</v>
      </c>
      <c r="C129" s="171">
        <v>248590</v>
      </c>
      <c r="D129" s="167">
        <f t="shared" si="2"/>
        <v>6.346600628047691</v>
      </c>
      <c r="E129" s="168">
        <f t="shared" si="1"/>
        <v>-3668310</v>
      </c>
    </row>
    <row r="130" spans="1:5" ht="16.5" customHeight="1">
      <c r="A130" s="16" t="s">
        <v>194</v>
      </c>
      <c r="B130" s="166">
        <v>1238800</v>
      </c>
      <c r="C130" s="171">
        <v>0</v>
      </c>
      <c r="D130" s="167">
        <f t="shared" si="2"/>
        <v>0</v>
      </c>
      <c r="E130" s="168">
        <f t="shared" si="1"/>
        <v>-1238800</v>
      </c>
    </row>
    <row r="131" spans="1:5" ht="18" customHeight="1">
      <c r="A131" s="169" t="s">
        <v>144</v>
      </c>
      <c r="B131" s="166">
        <v>1349988.39</v>
      </c>
      <c r="C131" s="171">
        <v>489767.01</v>
      </c>
      <c r="D131" s="167">
        <f t="shared" si="2"/>
        <v>36.279349780185896</v>
      </c>
      <c r="E131" s="168">
        <f t="shared" si="1"/>
        <v>-860221.3799999999</v>
      </c>
    </row>
    <row r="132" spans="1:5" ht="18" customHeight="1">
      <c r="A132" s="16" t="s">
        <v>315</v>
      </c>
      <c r="B132" s="166">
        <v>938800</v>
      </c>
      <c r="C132" s="171">
        <v>0</v>
      </c>
      <c r="D132" s="167">
        <f t="shared" si="2"/>
        <v>0</v>
      </c>
      <c r="E132" s="168">
        <f t="shared" si="1"/>
        <v>-938800</v>
      </c>
    </row>
    <row r="133" spans="1:5" ht="18" customHeight="1">
      <c r="A133" s="16" t="s">
        <v>272</v>
      </c>
      <c r="B133" s="166">
        <f>SUM(B134:B136)</f>
        <v>6082988.39</v>
      </c>
      <c r="C133" s="166">
        <f>SUM(C134:C136)</f>
        <v>0</v>
      </c>
      <c r="D133" s="167">
        <f t="shared" si="2"/>
        <v>0</v>
      </c>
      <c r="E133" s="168">
        <f t="shared" si="1"/>
        <v>-6082988.39</v>
      </c>
    </row>
    <row r="134" spans="1:5" ht="18" customHeight="1">
      <c r="A134" s="163" t="s">
        <v>181</v>
      </c>
      <c r="B134" s="166">
        <v>4340232.21</v>
      </c>
      <c r="C134" s="171">
        <v>0</v>
      </c>
      <c r="D134" s="167">
        <f>IF(B134=0,"   ",C134/B134*100)</f>
        <v>0</v>
      </c>
      <c r="E134" s="168">
        <f>C134-B134</f>
        <v>-4340232.21</v>
      </c>
    </row>
    <row r="135" spans="1:5" ht="18" customHeight="1">
      <c r="A135" s="163" t="s">
        <v>182</v>
      </c>
      <c r="B135" s="166">
        <v>1659767.79</v>
      </c>
      <c r="C135" s="171">
        <v>0</v>
      </c>
      <c r="D135" s="167">
        <f>IF(B135=0,"   ",C135/B135*100)</f>
        <v>0</v>
      </c>
      <c r="E135" s="168">
        <f>C135-B135</f>
        <v>-1659767.79</v>
      </c>
    </row>
    <row r="136" spans="1:5" ht="18" customHeight="1">
      <c r="A136" s="105" t="s">
        <v>193</v>
      </c>
      <c r="B136" s="166">
        <v>82988.39</v>
      </c>
      <c r="C136" s="171">
        <v>0</v>
      </c>
      <c r="D136" s="167">
        <f t="shared" si="2"/>
        <v>0</v>
      </c>
      <c r="E136" s="168">
        <f t="shared" si="1"/>
        <v>-82988.39</v>
      </c>
    </row>
    <row r="137" spans="1:5" ht="12.75">
      <c r="A137" s="169" t="s">
        <v>124</v>
      </c>
      <c r="B137" s="166">
        <f>SUM(B138,)</f>
        <v>105000</v>
      </c>
      <c r="C137" s="166">
        <f>SUM(C138,)</f>
        <v>35580</v>
      </c>
      <c r="D137" s="167">
        <f t="shared" si="2"/>
        <v>33.885714285714286</v>
      </c>
      <c r="E137" s="168">
        <f t="shared" si="1"/>
        <v>-69420</v>
      </c>
    </row>
    <row r="138" spans="1:5" ht="14.25" customHeight="1">
      <c r="A138" s="169" t="s">
        <v>43</v>
      </c>
      <c r="B138" s="166">
        <v>105000</v>
      </c>
      <c r="C138" s="172">
        <v>35580</v>
      </c>
      <c r="D138" s="167">
        <f t="shared" si="2"/>
        <v>33.885714285714286</v>
      </c>
      <c r="E138" s="168">
        <f t="shared" si="1"/>
        <v>-69420</v>
      </c>
    </row>
    <row r="139" spans="1:5" ht="19.5" customHeight="1">
      <c r="A139" s="169" t="s">
        <v>145</v>
      </c>
      <c r="B139" s="199">
        <f>SUM(B140:B140)</f>
        <v>0</v>
      </c>
      <c r="C139" s="199">
        <f>SUM(C140:C140)</f>
        <v>0</v>
      </c>
      <c r="D139" s="154" t="str">
        <f t="shared" si="2"/>
        <v>   </v>
      </c>
      <c r="E139" s="155">
        <f t="shared" si="1"/>
        <v>0</v>
      </c>
    </row>
    <row r="140" spans="1:5" ht="19.5" customHeight="1">
      <c r="A140" s="156" t="s">
        <v>146</v>
      </c>
      <c r="B140" s="199">
        <v>0</v>
      </c>
      <c r="C140" s="153">
        <v>0</v>
      </c>
      <c r="D140" s="154" t="str">
        <f t="shared" si="2"/>
        <v>   </v>
      </c>
      <c r="E140" s="155">
        <f t="shared" si="1"/>
        <v>0</v>
      </c>
    </row>
    <row r="141" spans="1:5" ht="20.25" customHeight="1">
      <c r="A141" s="157" t="s">
        <v>15</v>
      </c>
      <c r="B141" s="150">
        <f>B54+B64+B66+B71+B93+B126+B127+B137+B139</f>
        <v>82569128.36000001</v>
      </c>
      <c r="C141" s="150">
        <f>C54+C64+C66+C71+C93+C126+C127+C137+C139</f>
        <v>7644771.43</v>
      </c>
      <c r="D141" s="141">
        <f t="shared" si="2"/>
        <v>9.258631623999863</v>
      </c>
      <c r="E141" s="142">
        <f t="shared" si="1"/>
        <v>-74924356.93</v>
      </c>
    </row>
    <row r="142" spans="1:5" s="59" customFormat="1" ht="23.25" customHeight="1">
      <c r="A142" s="80" t="s">
        <v>225</v>
      </c>
      <c r="B142" s="80"/>
      <c r="C142" s="306"/>
      <c r="D142" s="306"/>
      <c r="E142" s="306"/>
    </row>
    <row r="143" spans="1:5" s="59" customFormat="1" ht="12" customHeight="1">
      <c r="A143" s="80" t="s">
        <v>154</v>
      </c>
      <c r="B143" s="80"/>
      <c r="C143" s="81" t="s">
        <v>251</v>
      </c>
      <c r="D143" s="82"/>
      <c r="E143" s="83"/>
    </row>
    <row r="144" spans="1:5" ht="12.75">
      <c r="A144" s="7"/>
      <c r="B144" s="7"/>
      <c r="C144" s="6"/>
      <c r="D144" s="7"/>
      <c r="E144" s="2"/>
    </row>
    <row r="145" spans="1:5" ht="12.75">
      <c r="A145" s="7"/>
      <c r="B145" s="7"/>
      <c r="C145" s="6"/>
      <c r="D145" s="7"/>
      <c r="E145" s="2"/>
    </row>
    <row r="146" spans="1:5" ht="12.75">
      <c r="A146" s="7"/>
      <c r="B146" s="7"/>
      <c r="C146" s="6"/>
      <c r="D146" s="7"/>
      <c r="E146" s="2"/>
    </row>
    <row r="147" spans="1:5" ht="12.75">
      <c r="A147" s="7"/>
      <c r="B147" s="7"/>
      <c r="C147" s="6"/>
      <c r="D147" s="7"/>
      <c r="E147" s="2"/>
    </row>
  </sheetData>
  <sheetProtection/>
  <mergeCells count="2">
    <mergeCell ref="A1:E1"/>
    <mergeCell ref="C142:E142"/>
  </mergeCells>
  <printOptions/>
  <pageMargins left="0.7874015748031497" right="0.7874015748031497" top="0.4724409448818898" bottom="0.5118110236220472" header="0.5118110236220472" footer="0.5118110236220472"/>
  <pageSetup fitToHeight="3" fitToWidth="3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8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108.50390625" style="0" customWidth="1"/>
    <col min="2" max="2" width="17.00390625" style="0" customWidth="1"/>
    <col min="3" max="3" width="17.625" style="0" customWidth="1"/>
    <col min="4" max="4" width="18.125" style="0" customWidth="1"/>
    <col min="5" max="5" width="15.875" style="0" customWidth="1"/>
  </cols>
  <sheetData>
    <row r="1" spans="1:5" ht="17.25">
      <c r="A1" s="308" t="s">
        <v>307</v>
      </c>
      <c r="B1" s="308"/>
      <c r="C1" s="308"/>
      <c r="D1" s="308"/>
      <c r="E1" s="308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256</v>
      </c>
      <c r="C4" s="32" t="s">
        <v>300</v>
      </c>
      <c r="D4" s="19" t="s">
        <v>260</v>
      </c>
      <c r="E4" s="36" t="s">
        <v>258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8" customHeight="1">
      <c r="A7" s="17" t="s">
        <v>45</v>
      </c>
      <c r="B7" s="149">
        <f>SUM(B8)</f>
        <v>29200</v>
      </c>
      <c r="C7" s="149">
        <f>SUM(C8)</f>
        <v>13187.81</v>
      </c>
      <c r="D7" s="26">
        <f aca="true" t="shared" si="0" ref="D7:D93">IF(B7=0,"   ",C7/B7*100)</f>
        <v>45.163732876712324</v>
      </c>
      <c r="E7" s="42">
        <f aca="true" t="shared" si="1" ref="E7:E94">C7-B7</f>
        <v>-16012.19</v>
      </c>
    </row>
    <row r="8" spans="1:5" ht="12.75">
      <c r="A8" s="16" t="s">
        <v>44</v>
      </c>
      <c r="B8" s="84">
        <v>29200</v>
      </c>
      <c r="C8" s="243">
        <v>13187.81</v>
      </c>
      <c r="D8" s="26">
        <f t="shared" si="0"/>
        <v>45.163732876712324</v>
      </c>
      <c r="E8" s="42">
        <f t="shared" si="1"/>
        <v>-16012.19</v>
      </c>
    </row>
    <row r="9" spans="1:5" ht="15" customHeight="1">
      <c r="A9" s="64" t="s">
        <v>137</v>
      </c>
      <c r="B9" s="200">
        <f>SUM(B10)</f>
        <v>645500</v>
      </c>
      <c r="C9" s="200">
        <f>SUM(C10)</f>
        <v>279155.78</v>
      </c>
      <c r="D9" s="26">
        <f t="shared" si="0"/>
        <v>43.24644151820295</v>
      </c>
      <c r="E9" s="42">
        <f t="shared" si="1"/>
        <v>-366344.22</v>
      </c>
    </row>
    <row r="10" spans="1:5" ht="12.75">
      <c r="A10" s="41" t="s">
        <v>138</v>
      </c>
      <c r="B10" s="201">
        <v>645500</v>
      </c>
      <c r="C10" s="243">
        <v>279155.78</v>
      </c>
      <c r="D10" s="26">
        <f t="shared" si="0"/>
        <v>43.24644151820295</v>
      </c>
      <c r="E10" s="42">
        <f t="shared" si="1"/>
        <v>-366344.22</v>
      </c>
    </row>
    <row r="11" spans="1:5" ht="18.75" customHeight="1">
      <c r="A11" s="16" t="s">
        <v>7</v>
      </c>
      <c r="B11" s="201">
        <f>SUM(B12:B12)</f>
        <v>0</v>
      </c>
      <c r="C11" s="201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21" customHeight="1">
      <c r="A12" s="16" t="s">
        <v>26</v>
      </c>
      <c r="B12" s="201">
        <v>0</v>
      </c>
      <c r="C12" s="202">
        <v>0</v>
      </c>
      <c r="D12" s="26" t="str">
        <f t="shared" si="0"/>
        <v>   </v>
      </c>
      <c r="E12" s="42">
        <f t="shared" si="1"/>
        <v>0</v>
      </c>
    </row>
    <row r="13" spans="1:5" ht="21" customHeight="1">
      <c r="A13" s="16" t="s">
        <v>9</v>
      </c>
      <c r="B13" s="201">
        <f>SUM(B14:B15)</f>
        <v>280000</v>
      </c>
      <c r="C13" s="201">
        <f>SUM(C14:C15)</f>
        <v>17380.5</v>
      </c>
      <c r="D13" s="26">
        <f t="shared" si="0"/>
        <v>6.207321428571428</v>
      </c>
      <c r="E13" s="42">
        <f t="shared" si="1"/>
        <v>-262619.5</v>
      </c>
    </row>
    <row r="14" spans="1:5" ht="12.75">
      <c r="A14" s="16" t="s">
        <v>27</v>
      </c>
      <c r="B14" s="201">
        <v>82000</v>
      </c>
      <c r="C14" s="243">
        <v>3060.79</v>
      </c>
      <c r="D14" s="26">
        <f t="shared" si="0"/>
        <v>3.7326707317073167</v>
      </c>
      <c r="E14" s="42">
        <f t="shared" si="1"/>
        <v>-78939.21</v>
      </c>
    </row>
    <row r="15" spans="1:5" ht="12.75">
      <c r="A15" s="41" t="s">
        <v>161</v>
      </c>
      <c r="B15" s="201">
        <f>SUM(B16:B17)</f>
        <v>198000</v>
      </c>
      <c r="C15" s="201">
        <f>SUM(C16:C17)</f>
        <v>14319.710000000001</v>
      </c>
      <c r="D15" s="26">
        <f t="shared" si="0"/>
        <v>7.232176767676767</v>
      </c>
      <c r="E15" s="42">
        <f t="shared" si="1"/>
        <v>-183680.29</v>
      </c>
    </row>
    <row r="16" spans="1:5" ht="12.75">
      <c r="A16" s="41" t="s">
        <v>162</v>
      </c>
      <c r="B16" s="201">
        <v>6000</v>
      </c>
      <c r="C16" s="243">
        <v>5523.01</v>
      </c>
      <c r="D16" s="26">
        <f t="shared" si="0"/>
        <v>92.05016666666667</v>
      </c>
      <c r="E16" s="42">
        <f t="shared" si="1"/>
        <v>-476.9899999999998</v>
      </c>
    </row>
    <row r="17" spans="1:5" ht="12.75">
      <c r="A17" s="41" t="s">
        <v>163</v>
      </c>
      <c r="B17" s="201">
        <v>192000</v>
      </c>
      <c r="C17" s="243">
        <v>8796.7</v>
      </c>
      <c r="D17" s="26">
        <f t="shared" si="0"/>
        <v>4.581614583333334</v>
      </c>
      <c r="E17" s="42">
        <f t="shared" si="1"/>
        <v>-183203.3</v>
      </c>
    </row>
    <row r="18" spans="1:5" ht="18.75" customHeight="1">
      <c r="A18" s="41" t="s">
        <v>197</v>
      </c>
      <c r="B18" s="201">
        <v>800</v>
      </c>
      <c r="C18" s="243">
        <v>1000</v>
      </c>
      <c r="D18" s="26">
        <f t="shared" si="0"/>
        <v>125</v>
      </c>
      <c r="E18" s="42">
        <f t="shared" si="1"/>
        <v>200</v>
      </c>
    </row>
    <row r="19" spans="1:5" ht="19.5" customHeight="1">
      <c r="A19" s="16" t="s">
        <v>89</v>
      </c>
      <c r="B19" s="201">
        <v>0</v>
      </c>
      <c r="C19" s="243">
        <v>0</v>
      </c>
      <c r="D19" s="26" t="str">
        <f t="shared" si="0"/>
        <v>   </v>
      </c>
      <c r="E19" s="42">
        <f t="shared" si="1"/>
        <v>0</v>
      </c>
    </row>
    <row r="20" spans="1:5" ht="30.75" customHeight="1">
      <c r="A20" s="16" t="s">
        <v>28</v>
      </c>
      <c r="B20" s="201">
        <f>SUM(B21:B23)</f>
        <v>130600</v>
      </c>
      <c r="C20" s="201">
        <f>SUM(C21:C23)</f>
        <v>28931.1</v>
      </c>
      <c r="D20" s="26">
        <f t="shared" si="0"/>
        <v>22.152450229709032</v>
      </c>
      <c r="E20" s="42">
        <f t="shared" si="1"/>
        <v>-101668.9</v>
      </c>
    </row>
    <row r="21" spans="1:5" ht="21.75" customHeight="1">
      <c r="A21" s="41" t="s">
        <v>152</v>
      </c>
      <c r="B21" s="201">
        <v>127000</v>
      </c>
      <c r="C21" s="202">
        <v>25340.5</v>
      </c>
      <c r="D21" s="26">
        <f t="shared" si="0"/>
        <v>19.95314960629921</v>
      </c>
      <c r="E21" s="42">
        <f t="shared" si="1"/>
        <v>-101659.5</v>
      </c>
    </row>
    <row r="22" spans="1:5" ht="21" customHeight="1">
      <c r="A22" s="16" t="s">
        <v>30</v>
      </c>
      <c r="B22" s="201">
        <v>0</v>
      </c>
      <c r="C22" s="202">
        <v>0</v>
      </c>
      <c r="D22" s="26" t="str">
        <f t="shared" si="0"/>
        <v>   </v>
      </c>
      <c r="E22" s="42">
        <f t="shared" si="1"/>
        <v>0</v>
      </c>
    </row>
    <row r="23" spans="1:5" ht="21" customHeight="1">
      <c r="A23" s="16" t="s">
        <v>277</v>
      </c>
      <c r="B23" s="201">
        <v>3600</v>
      </c>
      <c r="C23" s="202">
        <v>3590.6</v>
      </c>
      <c r="D23" s="26">
        <f t="shared" si="0"/>
        <v>99.7388888888889</v>
      </c>
      <c r="E23" s="42">
        <f t="shared" si="1"/>
        <v>-9.400000000000091</v>
      </c>
    </row>
    <row r="24" spans="1:5" ht="20.25" customHeight="1">
      <c r="A24" s="16" t="s">
        <v>83</v>
      </c>
      <c r="B24" s="201">
        <v>0</v>
      </c>
      <c r="C24" s="202">
        <v>0</v>
      </c>
      <c r="D24" s="26" t="str">
        <f t="shared" si="0"/>
        <v>   </v>
      </c>
      <c r="E24" s="42">
        <f t="shared" si="1"/>
        <v>0</v>
      </c>
    </row>
    <row r="25" spans="1:5" ht="17.25" customHeight="1">
      <c r="A25" s="16" t="s">
        <v>76</v>
      </c>
      <c r="B25" s="200">
        <f>B26</f>
        <v>0</v>
      </c>
      <c r="C25" s="200">
        <f>C26</f>
        <v>0</v>
      </c>
      <c r="D25" s="26" t="str">
        <f t="shared" si="0"/>
        <v>   </v>
      </c>
      <c r="E25" s="42">
        <f t="shared" si="1"/>
        <v>0</v>
      </c>
    </row>
    <row r="26" spans="1:5" ht="27.75" customHeight="1">
      <c r="A26" s="16" t="s">
        <v>77</v>
      </c>
      <c r="B26" s="201">
        <v>0</v>
      </c>
      <c r="C26" s="202">
        <v>0</v>
      </c>
      <c r="D26" s="26" t="str">
        <f t="shared" si="0"/>
        <v>   </v>
      </c>
      <c r="E26" s="42">
        <f t="shared" si="1"/>
        <v>0</v>
      </c>
    </row>
    <row r="27" spans="1:5" ht="17.25" customHeight="1">
      <c r="A27" s="16" t="s">
        <v>32</v>
      </c>
      <c r="B27" s="201">
        <f>B28+B29</f>
        <v>0</v>
      </c>
      <c r="C27" s="201">
        <f>SUM(C28:C29)</f>
        <v>-2000</v>
      </c>
      <c r="D27" s="26" t="str">
        <f t="shared" si="0"/>
        <v>   </v>
      </c>
      <c r="E27" s="42">
        <f t="shared" si="1"/>
        <v>-2000</v>
      </c>
    </row>
    <row r="28" spans="1:5" ht="12.75">
      <c r="A28" s="16" t="s">
        <v>46</v>
      </c>
      <c r="B28" s="201">
        <v>0</v>
      </c>
      <c r="C28" s="201">
        <v>-2000</v>
      </c>
      <c r="D28" s="26" t="str">
        <f t="shared" si="0"/>
        <v>   </v>
      </c>
      <c r="E28" s="42"/>
    </row>
    <row r="29" spans="1:5" ht="12.75">
      <c r="A29" s="16" t="s">
        <v>50</v>
      </c>
      <c r="B29" s="201">
        <v>0</v>
      </c>
      <c r="C29" s="202">
        <v>0</v>
      </c>
      <c r="D29" s="26" t="str">
        <f t="shared" si="0"/>
        <v>   </v>
      </c>
      <c r="E29" s="42">
        <f t="shared" si="1"/>
        <v>0</v>
      </c>
    </row>
    <row r="30" spans="1:5" ht="15.75" customHeight="1">
      <c r="A30" s="16" t="s">
        <v>31</v>
      </c>
      <c r="B30" s="201">
        <v>0</v>
      </c>
      <c r="C30" s="201">
        <v>0</v>
      </c>
      <c r="D30" s="26" t="str">
        <f t="shared" si="0"/>
        <v>   </v>
      </c>
      <c r="E30" s="42">
        <f t="shared" si="1"/>
        <v>0</v>
      </c>
    </row>
    <row r="31" spans="1:5" ht="16.5" customHeight="1">
      <c r="A31" s="173" t="s">
        <v>10</v>
      </c>
      <c r="B31" s="150">
        <f>SUM(B7,B9,B11,B13,B20,B24,B25,B27,B30,B19,B18)</f>
        <v>1086100</v>
      </c>
      <c r="C31" s="150">
        <f>SUM(C7,C9,C11,C13,C20,C24,C25,C27,C30,C19,C18)</f>
        <v>337655.19</v>
      </c>
      <c r="D31" s="141">
        <f t="shared" si="0"/>
        <v>31.088775435042816</v>
      </c>
      <c r="E31" s="142">
        <f t="shared" si="1"/>
        <v>-748444.81</v>
      </c>
    </row>
    <row r="32" spans="1:5" ht="13.5" customHeight="1">
      <c r="A32" s="181" t="s">
        <v>140</v>
      </c>
      <c r="B32" s="189">
        <f>SUM(B33:B36,B39:B42,B45)</f>
        <v>2816800</v>
      </c>
      <c r="C32" s="189">
        <f>SUM(C33:C36,C39:C42,C45)</f>
        <v>1199340</v>
      </c>
      <c r="D32" s="141">
        <f t="shared" si="0"/>
        <v>42.57810281170122</v>
      </c>
      <c r="E32" s="142">
        <f t="shared" si="1"/>
        <v>-1617460</v>
      </c>
    </row>
    <row r="33" spans="1:5" ht="19.5" customHeight="1">
      <c r="A33" s="17" t="s">
        <v>34</v>
      </c>
      <c r="B33" s="160">
        <v>1767700</v>
      </c>
      <c r="C33" s="243">
        <v>883830</v>
      </c>
      <c r="D33" s="26">
        <f t="shared" si="0"/>
        <v>49.99886858629858</v>
      </c>
      <c r="E33" s="42">
        <f t="shared" si="1"/>
        <v>-883870</v>
      </c>
    </row>
    <row r="34" spans="1:5" ht="19.5" customHeight="1">
      <c r="A34" s="17" t="s">
        <v>232</v>
      </c>
      <c r="B34" s="160">
        <v>0</v>
      </c>
      <c r="C34" s="243">
        <v>0</v>
      </c>
      <c r="D34" s="26" t="str">
        <f t="shared" si="0"/>
        <v>   </v>
      </c>
      <c r="E34" s="42">
        <f t="shared" si="1"/>
        <v>0</v>
      </c>
    </row>
    <row r="35" spans="1:5" ht="30.75" customHeight="1">
      <c r="A35" s="134" t="s">
        <v>51</v>
      </c>
      <c r="B35" s="135">
        <v>90400</v>
      </c>
      <c r="C35" s="243">
        <v>45500</v>
      </c>
      <c r="D35" s="136">
        <f t="shared" si="0"/>
        <v>50.33185840707964</v>
      </c>
      <c r="E35" s="137">
        <f t="shared" si="1"/>
        <v>-44900</v>
      </c>
    </row>
    <row r="36" spans="1:5" ht="24.75" customHeight="1">
      <c r="A36" s="109" t="s">
        <v>148</v>
      </c>
      <c r="B36" s="135">
        <f>SUM(B37:B38)</f>
        <v>23100</v>
      </c>
      <c r="C36" s="135">
        <f>SUM(C37:C38)</f>
        <v>100</v>
      </c>
      <c r="D36" s="136">
        <f t="shared" si="0"/>
        <v>0.4329004329004329</v>
      </c>
      <c r="E36" s="137">
        <f t="shared" si="1"/>
        <v>-23000</v>
      </c>
    </row>
    <row r="37" spans="1:5" ht="16.5" customHeight="1">
      <c r="A37" s="109" t="s">
        <v>164</v>
      </c>
      <c r="B37" s="135">
        <v>100</v>
      </c>
      <c r="C37" s="138">
        <v>100</v>
      </c>
      <c r="D37" s="136">
        <f t="shared" si="0"/>
        <v>100</v>
      </c>
      <c r="E37" s="137">
        <f t="shared" si="1"/>
        <v>0</v>
      </c>
    </row>
    <row r="38" spans="1:5" ht="25.5" customHeight="1">
      <c r="A38" s="109" t="s">
        <v>165</v>
      </c>
      <c r="B38" s="135">
        <v>23000</v>
      </c>
      <c r="C38" s="138">
        <v>0</v>
      </c>
      <c r="D38" s="136">
        <f t="shared" si="0"/>
        <v>0</v>
      </c>
      <c r="E38" s="137">
        <f t="shared" si="1"/>
        <v>-23000</v>
      </c>
    </row>
    <row r="39" spans="1:5" ht="40.5" customHeight="1">
      <c r="A39" s="143" t="s">
        <v>132</v>
      </c>
      <c r="B39" s="135">
        <v>0</v>
      </c>
      <c r="C39" s="135">
        <v>0</v>
      </c>
      <c r="D39" s="136" t="str">
        <f t="shared" si="0"/>
        <v>   </v>
      </c>
      <c r="E39" s="137">
        <f t="shared" si="1"/>
        <v>0</v>
      </c>
    </row>
    <row r="40" spans="1:5" ht="14.25" customHeight="1">
      <c r="A40" s="143" t="s">
        <v>171</v>
      </c>
      <c r="B40" s="135">
        <v>0</v>
      </c>
      <c r="C40" s="135">
        <v>0</v>
      </c>
      <c r="D40" s="136" t="str">
        <f t="shared" si="0"/>
        <v>   </v>
      </c>
      <c r="E40" s="137">
        <f t="shared" si="1"/>
        <v>0</v>
      </c>
    </row>
    <row r="41" spans="1:5" ht="61.5" customHeight="1">
      <c r="A41" s="16" t="s">
        <v>241</v>
      </c>
      <c r="B41" s="135">
        <v>536200</v>
      </c>
      <c r="C41" s="135">
        <v>0</v>
      </c>
      <c r="D41" s="136">
        <f t="shared" si="0"/>
        <v>0</v>
      </c>
      <c r="E41" s="137">
        <f t="shared" si="1"/>
        <v>-536200</v>
      </c>
    </row>
    <row r="42" spans="1:5" ht="15.75" customHeight="1">
      <c r="A42" s="16" t="s">
        <v>55</v>
      </c>
      <c r="B42" s="166">
        <f>B44+B43</f>
        <v>399400</v>
      </c>
      <c r="C42" s="166">
        <f>C44+C43</f>
        <v>269910</v>
      </c>
      <c r="D42" s="26">
        <f t="shared" si="0"/>
        <v>67.57886830245367</v>
      </c>
      <c r="E42" s="42">
        <f t="shared" si="1"/>
        <v>-129490</v>
      </c>
    </row>
    <row r="43" spans="1:5" ht="15" customHeight="1">
      <c r="A43" s="46" t="s">
        <v>189</v>
      </c>
      <c r="B43" s="166">
        <v>0</v>
      </c>
      <c r="C43" s="166">
        <v>0</v>
      </c>
      <c r="D43" s="26" t="str">
        <f>IF(B43=0,"   ",C43/B43*100)</f>
        <v>   </v>
      </c>
      <c r="E43" s="42">
        <f>C43-B43</f>
        <v>0</v>
      </c>
    </row>
    <row r="44" spans="1:5" s="7" customFormat="1" ht="16.5" customHeight="1">
      <c r="A44" s="16" t="s">
        <v>109</v>
      </c>
      <c r="B44" s="166">
        <v>399400</v>
      </c>
      <c r="C44" s="166">
        <v>269910</v>
      </c>
      <c r="D44" s="47">
        <f t="shared" si="0"/>
        <v>67.57886830245367</v>
      </c>
      <c r="E44" s="40">
        <f t="shared" si="1"/>
        <v>-129490</v>
      </c>
    </row>
    <row r="45" spans="1:5" s="7" customFormat="1" ht="23.25" customHeight="1">
      <c r="A45" s="16" t="s">
        <v>200</v>
      </c>
      <c r="B45" s="166">
        <v>0</v>
      </c>
      <c r="C45" s="166">
        <v>0</v>
      </c>
      <c r="D45" s="47" t="str">
        <f>IF(B45=0,"   ",C45/B45*100)</f>
        <v>   </v>
      </c>
      <c r="E45" s="40">
        <f>C45-B45</f>
        <v>0</v>
      </c>
    </row>
    <row r="46" spans="1:5" ht="30.75" customHeight="1">
      <c r="A46" s="173" t="s">
        <v>11</v>
      </c>
      <c r="B46" s="150">
        <f>SUM(B31,B32,)</f>
        <v>3902900</v>
      </c>
      <c r="C46" s="150">
        <f>SUM(C31,C32,)</f>
        <v>1536995.19</v>
      </c>
      <c r="D46" s="141">
        <f t="shared" si="0"/>
        <v>39.380849880857824</v>
      </c>
      <c r="E46" s="142">
        <f t="shared" si="1"/>
        <v>-2365904.81</v>
      </c>
    </row>
    <row r="47" spans="1:5" ht="41.25" customHeight="1">
      <c r="A47" s="22" t="s">
        <v>12</v>
      </c>
      <c r="B47" s="44"/>
      <c r="C47" s="45"/>
      <c r="D47" s="26" t="str">
        <f t="shared" si="0"/>
        <v>   </v>
      </c>
      <c r="E47" s="42">
        <f t="shared" si="1"/>
        <v>0</v>
      </c>
    </row>
    <row r="48" spans="1:5" ht="21" customHeight="1">
      <c r="A48" s="16" t="s">
        <v>35</v>
      </c>
      <c r="B48" s="25">
        <f>SUM(B49,B52,B53)</f>
        <v>1187600</v>
      </c>
      <c r="C48" s="25">
        <f>SUM(C49,C52,C53)</f>
        <v>552685.11</v>
      </c>
      <c r="D48" s="26">
        <f t="shared" si="0"/>
        <v>46.53798501178848</v>
      </c>
      <c r="E48" s="42">
        <f t="shared" si="1"/>
        <v>-634914.89</v>
      </c>
    </row>
    <row r="49" spans="1:5" ht="14.25" customHeight="1">
      <c r="A49" s="16" t="s">
        <v>36</v>
      </c>
      <c r="B49" s="25">
        <v>1172100</v>
      </c>
      <c r="C49" s="25">
        <v>552685.11</v>
      </c>
      <c r="D49" s="26">
        <f t="shared" si="0"/>
        <v>47.15340926542104</v>
      </c>
      <c r="E49" s="42">
        <f t="shared" si="1"/>
        <v>-619414.89</v>
      </c>
    </row>
    <row r="50" spans="1:5" ht="12.75">
      <c r="A50" s="85" t="s">
        <v>121</v>
      </c>
      <c r="B50" s="25">
        <v>761367</v>
      </c>
      <c r="C50" s="28">
        <v>352817.25</v>
      </c>
      <c r="D50" s="26">
        <f t="shared" si="0"/>
        <v>46.33997139355922</v>
      </c>
      <c r="E50" s="42">
        <f t="shared" si="1"/>
        <v>-408549.75</v>
      </c>
    </row>
    <row r="51" spans="1:5" ht="12.75">
      <c r="A51" s="85" t="s">
        <v>293</v>
      </c>
      <c r="B51" s="25">
        <v>100</v>
      </c>
      <c r="C51" s="28">
        <v>0</v>
      </c>
      <c r="D51" s="26">
        <f>IF(B51=0,"   ",C51/B51*100)</f>
        <v>0</v>
      </c>
      <c r="E51" s="42">
        <f>C51-B51</f>
        <v>-100</v>
      </c>
    </row>
    <row r="52" spans="1:5" ht="12.75">
      <c r="A52" s="16" t="s">
        <v>95</v>
      </c>
      <c r="B52" s="25">
        <v>500</v>
      </c>
      <c r="C52" s="27">
        <v>0</v>
      </c>
      <c r="D52" s="26">
        <f t="shared" si="0"/>
        <v>0</v>
      </c>
      <c r="E52" s="42">
        <f t="shared" si="1"/>
        <v>-500</v>
      </c>
    </row>
    <row r="53" spans="1:5" ht="12.75">
      <c r="A53" s="16" t="s">
        <v>52</v>
      </c>
      <c r="B53" s="25">
        <f>B54</f>
        <v>15000</v>
      </c>
      <c r="C53" s="25">
        <f>C54</f>
        <v>0</v>
      </c>
      <c r="D53" s="26">
        <f t="shared" si="0"/>
        <v>0</v>
      </c>
      <c r="E53" s="42">
        <f t="shared" si="1"/>
        <v>-15000</v>
      </c>
    </row>
    <row r="54" spans="1:5" ht="26.25">
      <c r="A54" s="105" t="s">
        <v>247</v>
      </c>
      <c r="B54" s="25">
        <v>15000</v>
      </c>
      <c r="C54" s="27">
        <v>0</v>
      </c>
      <c r="D54" s="26">
        <f t="shared" si="0"/>
        <v>0</v>
      </c>
      <c r="E54" s="42">
        <f t="shared" si="1"/>
        <v>-15000</v>
      </c>
    </row>
    <row r="55" spans="1:5" ht="19.5" customHeight="1">
      <c r="A55" s="16" t="s">
        <v>49</v>
      </c>
      <c r="B55" s="27">
        <f>SUM(B56)</f>
        <v>90400</v>
      </c>
      <c r="C55" s="27">
        <f>SUM(C56)</f>
        <v>41483.16</v>
      </c>
      <c r="D55" s="26">
        <f t="shared" si="0"/>
        <v>45.888451327433636</v>
      </c>
      <c r="E55" s="42">
        <f t="shared" si="1"/>
        <v>-48916.84</v>
      </c>
    </row>
    <row r="56" spans="1:5" ht="15.75" customHeight="1">
      <c r="A56" s="16" t="s">
        <v>107</v>
      </c>
      <c r="B56" s="25">
        <v>90400</v>
      </c>
      <c r="C56" s="27">
        <v>41483.16</v>
      </c>
      <c r="D56" s="26">
        <f t="shared" si="0"/>
        <v>45.888451327433636</v>
      </c>
      <c r="E56" s="42">
        <f t="shared" si="1"/>
        <v>-48916.84</v>
      </c>
    </row>
    <row r="57" spans="1:5" ht="21" customHeight="1">
      <c r="A57" s="16" t="s">
        <v>37</v>
      </c>
      <c r="B57" s="25">
        <f>SUM(B58)</f>
        <v>1000</v>
      </c>
      <c r="C57" s="27">
        <f>SUM(C58)</f>
        <v>1000</v>
      </c>
      <c r="D57" s="26">
        <f t="shared" si="0"/>
        <v>100</v>
      </c>
      <c r="E57" s="42">
        <f t="shared" si="1"/>
        <v>0</v>
      </c>
    </row>
    <row r="58" spans="1:5" ht="15" customHeight="1">
      <c r="A58" s="75" t="s">
        <v>128</v>
      </c>
      <c r="B58" s="25">
        <v>1000</v>
      </c>
      <c r="C58" s="27">
        <v>1000</v>
      </c>
      <c r="D58" s="26">
        <f t="shared" si="0"/>
        <v>100</v>
      </c>
      <c r="E58" s="42">
        <f t="shared" si="1"/>
        <v>0</v>
      </c>
    </row>
    <row r="59" spans="1:5" ht="19.5" customHeight="1">
      <c r="A59" s="16" t="s">
        <v>38</v>
      </c>
      <c r="B59" s="25">
        <f>SUM(B65+B60+B63+B73)</f>
        <v>1886299.25</v>
      </c>
      <c r="C59" s="25">
        <f>SUM(C65+C60+C63+C73)</f>
        <v>329900</v>
      </c>
      <c r="D59" s="26">
        <f t="shared" si="0"/>
        <v>17.48927165188662</v>
      </c>
      <c r="E59" s="42">
        <f t="shared" si="1"/>
        <v>-1556399.25</v>
      </c>
    </row>
    <row r="60" spans="1:5" ht="15" customHeight="1">
      <c r="A60" s="75" t="s">
        <v>166</v>
      </c>
      <c r="B60" s="25">
        <f>SUM(B61+B62)</f>
        <v>23000</v>
      </c>
      <c r="C60" s="25">
        <f>SUM(C61+C62)</f>
        <v>0</v>
      </c>
      <c r="D60" s="26">
        <f>IF(B60=0,"   ",C60/B60*100)</f>
        <v>0</v>
      </c>
      <c r="E60" s="42">
        <f>C60-B60</f>
        <v>-23000</v>
      </c>
    </row>
    <row r="61" spans="1:5" ht="15.75" customHeight="1">
      <c r="A61" s="75" t="s">
        <v>167</v>
      </c>
      <c r="B61" s="25">
        <v>23000</v>
      </c>
      <c r="C61" s="25">
        <v>0</v>
      </c>
      <c r="D61" s="26">
        <f>IF(B61=0,"   ",C61/B61*100)</f>
        <v>0</v>
      </c>
      <c r="E61" s="42">
        <f>C61-B61</f>
        <v>-23000</v>
      </c>
    </row>
    <row r="62" spans="1:5" ht="19.5" customHeight="1">
      <c r="A62" s="75" t="s">
        <v>170</v>
      </c>
      <c r="B62" s="25">
        <v>0</v>
      </c>
      <c r="C62" s="25">
        <v>0</v>
      </c>
      <c r="D62" s="26" t="str">
        <f>IF(B62=0,"   ",C62/B62*100)</f>
        <v>   </v>
      </c>
      <c r="E62" s="42">
        <f>C62-B62</f>
        <v>0</v>
      </c>
    </row>
    <row r="63" spans="1:5" ht="19.5" customHeight="1">
      <c r="A63" s="75" t="s">
        <v>234</v>
      </c>
      <c r="B63" s="25">
        <f>SUM(B64)</f>
        <v>100000</v>
      </c>
      <c r="C63" s="25">
        <f>SUM(C64)</f>
        <v>30000</v>
      </c>
      <c r="D63" s="26">
        <f>IF(B63=0,"   ",C63/B63*100)</f>
        <v>30</v>
      </c>
      <c r="E63" s="42">
        <f>C63-B63</f>
        <v>-70000</v>
      </c>
    </row>
    <row r="64" spans="1:5" ht="19.5" customHeight="1">
      <c r="A64" s="75" t="s">
        <v>235</v>
      </c>
      <c r="B64" s="25">
        <v>100000</v>
      </c>
      <c r="C64" s="25">
        <v>30000</v>
      </c>
      <c r="D64" s="26">
        <f>IF(B64=0,"   ",C64/B64*100)</f>
        <v>30</v>
      </c>
      <c r="E64" s="42">
        <f>C64-B64</f>
        <v>-70000</v>
      </c>
    </row>
    <row r="65" spans="1:5" ht="12.75" customHeight="1">
      <c r="A65" s="96" t="s">
        <v>131</v>
      </c>
      <c r="B65" s="25">
        <f>SUM(B66:B72)</f>
        <v>1681799.25</v>
      </c>
      <c r="C65" s="25">
        <f>SUM(C66:C72)</f>
        <v>299900</v>
      </c>
      <c r="D65" s="26">
        <f t="shared" si="0"/>
        <v>17.832092623421016</v>
      </c>
      <c r="E65" s="42">
        <f t="shared" si="1"/>
        <v>-1381899.25</v>
      </c>
    </row>
    <row r="66" spans="1:5" ht="24.75" customHeight="1">
      <c r="A66" s="75" t="s">
        <v>149</v>
      </c>
      <c r="B66" s="25">
        <v>0</v>
      </c>
      <c r="C66" s="25">
        <v>0</v>
      </c>
      <c r="D66" s="26" t="str">
        <f t="shared" si="0"/>
        <v>   </v>
      </c>
      <c r="E66" s="137">
        <f t="shared" si="1"/>
        <v>0</v>
      </c>
    </row>
    <row r="67" spans="1:5" ht="33.75" customHeight="1">
      <c r="A67" s="71" t="s">
        <v>262</v>
      </c>
      <c r="B67" s="25">
        <v>500499.25</v>
      </c>
      <c r="C67" s="25">
        <v>0</v>
      </c>
      <c r="D67" s="26">
        <f t="shared" si="0"/>
        <v>0</v>
      </c>
      <c r="E67" s="137">
        <f t="shared" si="1"/>
        <v>-500499.25</v>
      </c>
    </row>
    <row r="68" spans="1:5" ht="26.25" customHeight="1">
      <c r="A68" s="71" t="s">
        <v>263</v>
      </c>
      <c r="B68" s="25">
        <v>141700</v>
      </c>
      <c r="C68" s="25">
        <v>0</v>
      </c>
      <c r="D68" s="26">
        <f t="shared" si="0"/>
        <v>0</v>
      </c>
      <c r="E68" s="42">
        <f t="shared" si="1"/>
        <v>-141700</v>
      </c>
    </row>
    <row r="69" spans="1:5" ht="26.25" customHeight="1">
      <c r="A69" s="71" t="s">
        <v>264</v>
      </c>
      <c r="B69" s="25">
        <v>536200</v>
      </c>
      <c r="C69" s="25">
        <v>0</v>
      </c>
      <c r="D69" s="26">
        <f t="shared" si="0"/>
        <v>0</v>
      </c>
      <c r="E69" s="42">
        <f t="shared" si="1"/>
        <v>-536200</v>
      </c>
    </row>
    <row r="70" spans="1:5" ht="26.25" customHeight="1">
      <c r="A70" s="71" t="s">
        <v>265</v>
      </c>
      <c r="B70" s="25">
        <v>59600</v>
      </c>
      <c r="C70" s="25">
        <v>0</v>
      </c>
      <c r="D70" s="26">
        <f>IF(B70=0,"   ",C70/B70*100)</f>
        <v>0</v>
      </c>
      <c r="E70" s="42">
        <f>C70-B70</f>
        <v>-59600</v>
      </c>
    </row>
    <row r="71" spans="1:5" ht="26.25" customHeight="1">
      <c r="A71" s="71" t="s">
        <v>266</v>
      </c>
      <c r="B71" s="25">
        <v>399400</v>
      </c>
      <c r="C71" s="25">
        <v>269910</v>
      </c>
      <c r="D71" s="26">
        <f>IF(B71=0,"   ",C71/B71*100)</f>
        <v>67.57886830245367</v>
      </c>
      <c r="E71" s="42">
        <f>C71-B71</f>
        <v>-129490</v>
      </c>
    </row>
    <row r="72" spans="1:5" ht="23.25" customHeight="1">
      <c r="A72" s="71" t="s">
        <v>267</v>
      </c>
      <c r="B72" s="25">
        <v>44400</v>
      </c>
      <c r="C72" s="25">
        <v>29990</v>
      </c>
      <c r="D72" s="26">
        <f t="shared" si="0"/>
        <v>67.54504504504504</v>
      </c>
      <c r="E72" s="42">
        <f t="shared" si="1"/>
        <v>-14410</v>
      </c>
    </row>
    <row r="73" spans="1:5" ht="18.75" customHeight="1">
      <c r="A73" s="96" t="s">
        <v>178</v>
      </c>
      <c r="B73" s="25">
        <f>SUM(B74)</f>
        <v>81500</v>
      </c>
      <c r="C73" s="25">
        <f>SUM(C74)</f>
        <v>0</v>
      </c>
      <c r="D73" s="26">
        <f>IF(B73=0,"   ",C73/B73*100)</f>
        <v>0</v>
      </c>
      <c r="E73" s="42">
        <f>C73-B73</f>
        <v>-81500</v>
      </c>
    </row>
    <row r="74" spans="1:5" ht="23.25" customHeight="1">
      <c r="A74" s="75" t="s">
        <v>179</v>
      </c>
      <c r="B74" s="25">
        <v>81500</v>
      </c>
      <c r="C74" s="25">
        <v>0</v>
      </c>
      <c r="D74" s="26">
        <f>IF(B74=0,"   ",C74/B74*100)</f>
        <v>0</v>
      </c>
      <c r="E74" s="42">
        <f>C74-B74</f>
        <v>-81500</v>
      </c>
    </row>
    <row r="75" spans="1:5" ht="18.75" customHeight="1">
      <c r="A75" s="16" t="s">
        <v>13</v>
      </c>
      <c r="B75" s="25">
        <f>SUM(B80+B76+B78)</f>
        <v>180000</v>
      </c>
      <c r="C75" s="25">
        <f>SUM(C80+C76+C78)</f>
        <v>82147.09</v>
      </c>
      <c r="D75" s="26">
        <f t="shared" si="0"/>
        <v>45.63727222222222</v>
      </c>
      <c r="E75" s="42">
        <f t="shared" si="1"/>
        <v>-97852.91</v>
      </c>
    </row>
    <row r="76" spans="1:5" ht="12.75" customHeight="1">
      <c r="A76" s="86" t="s">
        <v>14</v>
      </c>
      <c r="B76" s="25">
        <f>B77</f>
        <v>0</v>
      </c>
      <c r="C76" s="25">
        <f>C77</f>
        <v>0</v>
      </c>
      <c r="D76" s="26" t="str">
        <f>IF(B76=0,"   ",C76/B76*100)</f>
        <v>   </v>
      </c>
      <c r="E76" s="42">
        <f>C76-B76</f>
        <v>0</v>
      </c>
    </row>
    <row r="77" spans="1:5" ht="12.75" customHeight="1">
      <c r="A77" s="156" t="s">
        <v>172</v>
      </c>
      <c r="B77" s="25">
        <v>0</v>
      </c>
      <c r="C77" s="25">
        <v>0</v>
      </c>
      <c r="D77" s="26" t="str">
        <f>IF(B77=0,"   ",C77/B77*100)</f>
        <v>   </v>
      </c>
      <c r="E77" s="42">
        <f>C77-B77</f>
        <v>0</v>
      </c>
    </row>
    <row r="78" spans="1:5" ht="13.5" customHeight="1">
      <c r="A78" s="86" t="s">
        <v>64</v>
      </c>
      <c r="B78" s="25">
        <f>B79</f>
        <v>50000</v>
      </c>
      <c r="C78" s="25">
        <f>C79</f>
        <v>50000</v>
      </c>
      <c r="D78" s="26">
        <f>IF(B78=0,"   ",C78/B78*100)</f>
        <v>100</v>
      </c>
      <c r="E78" s="42">
        <f>C78-B78</f>
        <v>0</v>
      </c>
    </row>
    <row r="79" spans="1:5" ht="14.25" customHeight="1">
      <c r="A79" s="156" t="s">
        <v>142</v>
      </c>
      <c r="B79" s="25">
        <v>50000</v>
      </c>
      <c r="C79" s="25">
        <v>50000</v>
      </c>
      <c r="D79" s="26">
        <f>IF(B79=0,"   ",C79/B79*100)</f>
        <v>100</v>
      </c>
      <c r="E79" s="42">
        <f>C79-B79</f>
        <v>0</v>
      </c>
    </row>
    <row r="80" spans="1:5" ht="12.75">
      <c r="A80" s="16" t="s">
        <v>58</v>
      </c>
      <c r="B80" s="25">
        <f>B81+B83+B82+B88+B84</f>
        <v>130000</v>
      </c>
      <c r="C80" s="25">
        <f>C81+C83+C82+C88+C84</f>
        <v>32147.09</v>
      </c>
      <c r="D80" s="26">
        <f t="shared" si="0"/>
        <v>24.72853076923077</v>
      </c>
      <c r="E80" s="42">
        <f t="shared" si="1"/>
        <v>-97852.91</v>
      </c>
    </row>
    <row r="81" spans="1:5" ht="12.75">
      <c r="A81" s="16" t="s">
        <v>56</v>
      </c>
      <c r="B81" s="25">
        <v>130000</v>
      </c>
      <c r="C81" s="27">
        <v>32147.09</v>
      </c>
      <c r="D81" s="26">
        <f t="shared" si="0"/>
        <v>24.72853076923077</v>
      </c>
      <c r="E81" s="42">
        <f t="shared" si="1"/>
        <v>-97852.91</v>
      </c>
    </row>
    <row r="82" spans="1:5" ht="26.25">
      <c r="A82" s="105" t="s">
        <v>168</v>
      </c>
      <c r="B82" s="25">
        <v>0</v>
      </c>
      <c r="C82" s="27">
        <v>0</v>
      </c>
      <c r="D82" s="26" t="str">
        <f t="shared" si="0"/>
        <v>   </v>
      </c>
      <c r="E82" s="42">
        <f t="shared" si="1"/>
        <v>0</v>
      </c>
    </row>
    <row r="83" spans="1:5" ht="12.75">
      <c r="A83" s="16" t="s">
        <v>59</v>
      </c>
      <c r="B83" s="25">
        <v>0</v>
      </c>
      <c r="C83" s="27">
        <v>0</v>
      </c>
      <c r="D83" s="26" t="str">
        <f t="shared" si="0"/>
        <v>   </v>
      </c>
      <c r="E83" s="42">
        <f t="shared" si="1"/>
        <v>0</v>
      </c>
    </row>
    <row r="84" spans="1:5" ht="13.5" customHeight="1">
      <c r="A84" s="105" t="s">
        <v>207</v>
      </c>
      <c r="B84" s="25">
        <f>SUM(B85:B87)</f>
        <v>0</v>
      </c>
      <c r="C84" s="25">
        <f>SUM(C85:C87)</f>
        <v>0</v>
      </c>
      <c r="D84" s="26" t="str">
        <f>IF(B84=0,"   ",C84/B84*100)</f>
        <v>   </v>
      </c>
      <c r="E84" s="42">
        <f>C84-B84</f>
        <v>0</v>
      </c>
    </row>
    <row r="85" spans="1:5" ht="26.25">
      <c r="A85" s="105" t="s">
        <v>214</v>
      </c>
      <c r="B85" s="25">
        <v>0</v>
      </c>
      <c r="C85" s="27">
        <v>0</v>
      </c>
      <c r="D85" s="26" t="str">
        <f t="shared" si="0"/>
        <v>   </v>
      </c>
      <c r="E85" s="42">
        <f t="shared" si="1"/>
        <v>0</v>
      </c>
    </row>
    <row r="86" spans="1:5" ht="26.25">
      <c r="A86" s="105" t="s">
        <v>215</v>
      </c>
      <c r="B86" s="25">
        <v>0</v>
      </c>
      <c r="C86" s="27">
        <v>0</v>
      </c>
      <c r="D86" s="26" t="str">
        <f t="shared" si="0"/>
        <v>   </v>
      </c>
      <c r="E86" s="42">
        <f t="shared" si="1"/>
        <v>0</v>
      </c>
    </row>
    <row r="87" spans="1:5" ht="26.25">
      <c r="A87" s="105" t="s">
        <v>216</v>
      </c>
      <c r="B87" s="25">
        <v>0</v>
      </c>
      <c r="C87" s="27">
        <v>0</v>
      </c>
      <c r="D87" s="26" t="str">
        <f t="shared" si="0"/>
        <v>   </v>
      </c>
      <c r="E87" s="42">
        <f t="shared" si="1"/>
        <v>0</v>
      </c>
    </row>
    <row r="88" spans="1:5" ht="12.75">
      <c r="A88" s="156" t="s">
        <v>94</v>
      </c>
      <c r="B88" s="25">
        <v>0</v>
      </c>
      <c r="C88" s="27">
        <v>0</v>
      </c>
      <c r="D88" s="26" t="str">
        <f t="shared" si="0"/>
        <v>   </v>
      </c>
      <c r="E88" s="42">
        <f t="shared" si="1"/>
        <v>0</v>
      </c>
    </row>
    <row r="89" spans="1:5" ht="14.25" customHeight="1">
      <c r="A89" s="18" t="s">
        <v>17</v>
      </c>
      <c r="B89" s="31">
        <v>8000</v>
      </c>
      <c r="C89" s="31">
        <v>0</v>
      </c>
      <c r="D89" s="26">
        <f t="shared" si="0"/>
        <v>0</v>
      </c>
      <c r="E89" s="42">
        <f t="shared" si="1"/>
        <v>-8000</v>
      </c>
    </row>
    <row r="90" spans="1:5" ht="13.5" customHeight="1">
      <c r="A90" s="16" t="s">
        <v>41</v>
      </c>
      <c r="B90" s="24">
        <f>B91</f>
        <v>630300</v>
      </c>
      <c r="C90" s="24">
        <f>C91</f>
        <v>291540</v>
      </c>
      <c r="D90" s="26">
        <f t="shared" si="0"/>
        <v>46.254164683484056</v>
      </c>
      <c r="E90" s="42">
        <f t="shared" si="1"/>
        <v>-338760</v>
      </c>
    </row>
    <row r="91" spans="1:5" ht="12.75">
      <c r="A91" s="16" t="s">
        <v>42</v>
      </c>
      <c r="B91" s="25">
        <v>630300</v>
      </c>
      <c r="C91" s="27">
        <v>291540</v>
      </c>
      <c r="D91" s="26">
        <f t="shared" si="0"/>
        <v>46.254164683484056</v>
      </c>
      <c r="E91" s="42">
        <f t="shared" si="1"/>
        <v>-338760</v>
      </c>
    </row>
    <row r="92" spans="1:5" ht="18.75" customHeight="1">
      <c r="A92" s="16" t="s">
        <v>124</v>
      </c>
      <c r="B92" s="25">
        <f>SUM(B93,)</f>
        <v>20000</v>
      </c>
      <c r="C92" s="25">
        <f>SUM(C93,)</f>
        <v>0</v>
      </c>
      <c r="D92" s="26">
        <f t="shared" si="0"/>
        <v>0</v>
      </c>
      <c r="E92" s="42">
        <f t="shared" si="1"/>
        <v>-20000</v>
      </c>
    </row>
    <row r="93" spans="1:5" ht="12.75">
      <c r="A93" s="16" t="s">
        <v>43</v>
      </c>
      <c r="B93" s="25">
        <v>20000</v>
      </c>
      <c r="C93" s="28">
        <v>0</v>
      </c>
      <c r="D93" s="26">
        <f t="shared" si="0"/>
        <v>0</v>
      </c>
      <c r="E93" s="42">
        <f t="shared" si="1"/>
        <v>-20000</v>
      </c>
    </row>
    <row r="94" spans="1:5" ht="22.5" customHeight="1">
      <c r="A94" s="173" t="s">
        <v>15</v>
      </c>
      <c r="B94" s="150">
        <f>B48+B55+B57+B59+B75+B89+B90+B92</f>
        <v>4003599.25</v>
      </c>
      <c r="C94" s="150">
        <f>C48+C55+C57+C59+C75+C89+C90+C92</f>
        <v>1298755.3599999999</v>
      </c>
      <c r="D94" s="141">
        <f>IF(B94=0,"   ",C94/B94*100)</f>
        <v>32.43969435752092</v>
      </c>
      <c r="E94" s="142">
        <f t="shared" si="1"/>
        <v>-2704843.89</v>
      </c>
    </row>
    <row r="95" spans="1:5" s="59" customFormat="1" ht="23.25" customHeight="1">
      <c r="A95" s="80" t="s">
        <v>225</v>
      </c>
      <c r="B95" s="80"/>
      <c r="C95" s="306"/>
      <c r="D95" s="306"/>
      <c r="E95" s="306"/>
    </row>
    <row r="96" spans="1:5" s="59" customFormat="1" ht="12" customHeight="1">
      <c r="A96" s="80" t="s">
        <v>154</v>
      </c>
      <c r="B96" s="80"/>
      <c r="C96" s="81" t="s">
        <v>251</v>
      </c>
      <c r="D96" s="82"/>
      <c r="E96" s="83"/>
    </row>
    <row r="97" spans="1:5" ht="12.75">
      <c r="A97" s="7"/>
      <c r="B97" s="7"/>
      <c r="C97" s="6"/>
      <c r="D97" s="7"/>
      <c r="E97" s="2"/>
    </row>
    <row r="98" spans="1:5" ht="12.75">
      <c r="A98" s="7"/>
      <c r="B98" s="7"/>
      <c r="C98" s="6"/>
      <c r="D98" s="7"/>
      <c r="E98" s="2"/>
    </row>
    <row r="99" spans="1:5" ht="12.75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</sheetData>
  <sheetProtection/>
  <mergeCells count="2">
    <mergeCell ref="A1:E1"/>
    <mergeCell ref="C95:E95"/>
  </mergeCells>
  <printOptions/>
  <pageMargins left="0.984251968503937" right="0.7874015748031497" top="0.5118110236220472" bottom="0.4724409448818898" header="0.5118110236220472" footer="0.5118110236220472"/>
  <pageSetup fitToHeight="2" fitToWidth="1"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1"/>
  <sheetViews>
    <sheetView zoomScalePageLayoutView="0" workbookViewId="0" topLeftCell="A1">
      <selection activeCell="B49" sqref="B49"/>
    </sheetView>
  </sheetViews>
  <sheetFormatPr defaultColWidth="9.00390625" defaultRowHeight="12.75"/>
  <cols>
    <col min="1" max="1" width="102.50390625" style="0" customWidth="1"/>
    <col min="2" max="2" width="15.125" style="0" customWidth="1"/>
    <col min="3" max="3" width="18.625" style="0" customWidth="1"/>
    <col min="4" max="4" width="18.50390625" style="0" customWidth="1"/>
    <col min="5" max="5" width="16.00390625" style="0" customWidth="1"/>
  </cols>
  <sheetData>
    <row r="1" spans="1:5" ht="17.25">
      <c r="A1" s="308" t="s">
        <v>308</v>
      </c>
      <c r="B1" s="308"/>
      <c r="C1" s="308"/>
      <c r="D1" s="308"/>
      <c r="E1" s="308"/>
    </row>
    <row r="2" spans="1:5" ht="12.75" customHeight="1" thickBot="1">
      <c r="A2" s="4"/>
      <c r="B2" s="4"/>
      <c r="C2" s="3"/>
      <c r="D2" s="3"/>
      <c r="E2" s="3"/>
    </row>
    <row r="3" spans="1:5" ht="5.25" customHeight="1" hidden="1" thickBot="1">
      <c r="A3" s="4"/>
      <c r="B3" s="4"/>
      <c r="C3" s="5"/>
      <c r="D3" s="4"/>
      <c r="E3" s="4" t="s">
        <v>0</v>
      </c>
    </row>
    <row r="4" spans="1:5" ht="72.75" customHeight="1">
      <c r="A4" s="34" t="s">
        <v>1</v>
      </c>
      <c r="B4" s="19" t="s">
        <v>256</v>
      </c>
      <c r="C4" s="32" t="s">
        <v>309</v>
      </c>
      <c r="D4" s="19" t="s">
        <v>260</v>
      </c>
      <c r="E4" s="36" t="s">
        <v>258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6.5" customHeight="1">
      <c r="A7" s="17" t="s">
        <v>45</v>
      </c>
      <c r="B7" s="149">
        <f>SUM(B8)</f>
        <v>416700</v>
      </c>
      <c r="C7" s="149">
        <f>SUM(C8)</f>
        <v>187852.91</v>
      </c>
      <c r="D7" s="26">
        <f aca="true" t="shared" si="0" ref="D7:D102">IF(B7=0,"   ",C7/B7*100)</f>
        <v>45.08109191264699</v>
      </c>
      <c r="E7" s="42">
        <f aca="true" t="shared" si="1" ref="E7:E103">C7-B7</f>
        <v>-228847.09</v>
      </c>
    </row>
    <row r="8" spans="1:5" ht="12.75">
      <c r="A8" s="16" t="s">
        <v>44</v>
      </c>
      <c r="B8" s="84">
        <v>416700</v>
      </c>
      <c r="C8" s="243">
        <v>187852.91</v>
      </c>
      <c r="D8" s="26">
        <f t="shared" si="0"/>
        <v>45.08109191264699</v>
      </c>
      <c r="E8" s="42">
        <f t="shared" si="1"/>
        <v>-228847.09</v>
      </c>
    </row>
    <row r="9" spans="1:5" ht="18" customHeight="1">
      <c r="A9" s="64" t="s">
        <v>137</v>
      </c>
      <c r="B9" s="200">
        <f>SUM(B10)</f>
        <v>897100</v>
      </c>
      <c r="C9" s="200">
        <f>SUM(C10)</f>
        <v>387960.58</v>
      </c>
      <c r="D9" s="26">
        <f t="shared" si="0"/>
        <v>43.24607958978932</v>
      </c>
      <c r="E9" s="42">
        <f t="shared" si="1"/>
        <v>-509139.42</v>
      </c>
    </row>
    <row r="10" spans="1:5" ht="12.75">
      <c r="A10" s="41" t="s">
        <v>138</v>
      </c>
      <c r="B10" s="201">
        <v>897100</v>
      </c>
      <c r="C10" s="243">
        <v>387960.58</v>
      </c>
      <c r="D10" s="26">
        <f t="shared" si="0"/>
        <v>43.24607958978932</v>
      </c>
      <c r="E10" s="42">
        <f t="shared" si="1"/>
        <v>-509139.42</v>
      </c>
    </row>
    <row r="11" spans="1:5" ht="16.5" customHeight="1">
      <c r="A11" s="16" t="s">
        <v>7</v>
      </c>
      <c r="B11" s="201">
        <f>SUM(B12:B12)</f>
        <v>15000</v>
      </c>
      <c r="C11" s="201">
        <f>C12</f>
        <v>36117.3</v>
      </c>
      <c r="D11" s="26">
        <f t="shared" si="0"/>
        <v>240.782</v>
      </c>
      <c r="E11" s="42">
        <f t="shared" si="1"/>
        <v>21117.300000000003</v>
      </c>
    </row>
    <row r="12" spans="1:5" ht="12.75">
      <c r="A12" s="16" t="s">
        <v>26</v>
      </c>
      <c r="B12" s="201">
        <v>15000</v>
      </c>
      <c r="C12" s="243">
        <v>36117.3</v>
      </c>
      <c r="D12" s="26">
        <f t="shared" si="0"/>
        <v>240.782</v>
      </c>
      <c r="E12" s="42">
        <f t="shared" si="1"/>
        <v>21117.300000000003</v>
      </c>
    </row>
    <row r="13" spans="1:5" ht="18" customHeight="1">
      <c r="A13" s="16" t="s">
        <v>9</v>
      </c>
      <c r="B13" s="201">
        <f>SUM(B14:B15)</f>
        <v>686400</v>
      </c>
      <c r="C13" s="201">
        <f>SUM(C14:C15)</f>
        <v>140616.11</v>
      </c>
      <c r="D13" s="26">
        <f t="shared" si="0"/>
        <v>20.48603001165501</v>
      </c>
      <c r="E13" s="42">
        <f t="shared" si="1"/>
        <v>-545783.89</v>
      </c>
    </row>
    <row r="14" spans="1:5" ht="12.75">
      <c r="A14" s="16" t="s">
        <v>27</v>
      </c>
      <c r="B14" s="201">
        <v>262400</v>
      </c>
      <c r="C14" s="243">
        <v>39399.11</v>
      </c>
      <c r="D14" s="26">
        <f t="shared" si="0"/>
        <v>15.014904725609757</v>
      </c>
      <c r="E14" s="42">
        <f t="shared" si="1"/>
        <v>-223000.89</v>
      </c>
    </row>
    <row r="15" spans="1:5" ht="12.75">
      <c r="A15" s="41" t="s">
        <v>161</v>
      </c>
      <c r="B15" s="201">
        <f>SUM(B16:B17)</f>
        <v>424000</v>
      </c>
      <c r="C15" s="201">
        <f>SUM(C16:C17)</f>
        <v>101217</v>
      </c>
      <c r="D15" s="26">
        <f t="shared" si="0"/>
        <v>23.87193396226415</v>
      </c>
      <c r="E15" s="42">
        <f t="shared" si="1"/>
        <v>-322783</v>
      </c>
    </row>
    <row r="16" spans="1:5" ht="12.75">
      <c r="A16" s="41" t="s">
        <v>162</v>
      </c>
      <c r="B16" s="201">
        <v>130000</v>
      </c>
      <c r="C16" s="243">
        <v>50491</v>
      </c>
      <c r="D16" s="26">
        <f t="shared" si="0"/>
        <v>38.83923076923077</v>
      </c>
      <c r="E16" s="42">
        <f t="shared" si="1"/>
        <v>-79509</v>
      </c>
    </row>
    <row r="17" spans="1:5" ht="12.75">
      <c r="A17" s="41" t="s">
        <v>163</v>
      </c>
      <c r="B17" s="201">
        <v>294000</v>
      </c>
      <c r="C17" s="243">
        <v>50726</v>
      </c>
      <c r="D17" s="26">
        <f t="shared" si="0"/>
        <v>17.25374149659864</v>
      </c>
      <c r="E17" s="42">
        <f t="shared" si="1"/>
        <v>-243274</v>
      </c>
    </row>
    <row r="18" spans="1:5" ht="12.75">
      <c r="A18" s="41" t="s">
        <v>197</v>
      </c>
      <c r="B18" s="201">
        <v>3600</v>
      </c>
      <c r="C18" s="243">
        <v>4020.2</v>
      </c>
      <c r="D18" s="26">
        <f t="shared" si="0"/>
        <v>111.67222222222222</v>
      </c>
      <c r="E18" s="42">
        <f t="shared" si="1"/>
        <v>420.1999999999998</v>
      </c>
    </row>
    <row r="19" spans="1:5" ht="26.25" customHeight="1">
      <c r="A19" s="16" t="s">
        <v>89</v>
      </c>
      <c r="B19" s="201">
        <v>0</v>
      </c>
      <c r="C19" s="202">
        <v>0</v>
      </c>
      <c r="D19" s="26" t="str">
        <f t="shared" si="0"/>
        <v>   </v>
      </c>
      <c r="E19" s="42">
        <f t="shared" si="1"/>
        <v>0</v>
      </c>
    </row>
    <row r="20" spans="1:5" ht="30" customHeight="1">
      <c r="A20" s="16" t="s">
        <v>28</v>
      </c>
      <c r="B20" s="201">
        <f>SUM(B21:B24)</f>
        <v>75300</v>
      </c>
      <c r="C20" s="201">
        <f>SUM(C21:C24)</f>
        <v>78706.82</v>
      </c>
      <c r="D20" s="26">
        <f t="shared" si="0"/>
        <v>104.5243293492696</v>
      </c>
      <c r="E20" s="42">
        <f t="shared" si="1"/>
        <v>3406.820000000007</v>
      </c>
    </row>
    <row r="21" spans="1:5" ht="12.75">
      <c r="A21" s="16" t="s">
        <v>29</v>
      </c>
      <c r="B21" s="201">
        <v>0</v>
      </c>
      <c r="C21" s="202">
        <v>0</v>
      </c>
      <c r="D21" s="26" t="str">
        <f t="shared" si="0"/>
        <v>   </v>
      </c>
      <c r="E21" s="42">
        <f t="shared" si="1"/>
        <v>0</v>
      </c>
    </row>
    <row r="22" spans="1:5" ht="12.75">
      <c r="A22" s="41" t="s">
        <v>152</v>
      </c>
      <c r="B22" s="201">
        <v>43300</v>
      </c>
      <c r="C22" s="202">
        <v>51813.82</v>
      </c>
      <c r="D22" s="26">
        <f t="shared" si="0"/>
        <v>119.66240184757507</v>
      </c>
      <c r="E22" s="42">
        <f t="shared" si="1"/>
        <v>8513.82</v>
      </c>
    </row>
    <row r="23" spans="1:5" ht="15.75" customHeight="1">
      <c r="A23" s="16" t="s">
        <v>30</v>
      </c>
      <c r="B23" s="201">
        <v>16000</v>
      </c>
      <c r="C23" s="201">
        <v>16000</v>
      </c>
      <c r="D23" s="26">
        <f t="shared" si="0"/>
        <v>100</v>
      </c>
      <c r="E23" s="42">
        <f t="shared" si="1"/>
        <v>0</v>
      </c>
    </row>
    <row r="24" spans="1:5" ht="42" customHeight="1">
      <c r="A24" s="16" t="s">
        <v>228</v>
      </c>
      <c r="B24" s="201">
        <v>16000</v>
      </c>
      <c r="C24" s="243">
        <v>10893</v>
      </c>
      <c r="D24" s="26">
        <f t="shared" si="0"/>
        <v>68.08125000000001</v>
      </c>
      <c r="E24" s="42">
        <f t="shared" si="1"/>
        <v>-5107</v>
      </c>
    </row>
    <row r="25" spans="1:5" ht="15.75" customHeight="1">
      <c r="A25" s="39" t="s">
        <v>91</v>
      </c>
      <c r="B25" s="201">
        <v>4500</v>
      </c>
      <c r="C25" s="243">
        <v>5530.9</v>
      </c>
      <c r="D25" s="26">
        <f t="shared" si="0"/>
        <v>122.9088888888889</v>
      </c>
      <c r="E25" s="42">
        <f t="shared" si="1"/>
        <v>1030.8999999999996</v>
      </c>
    </row>
    <row r="26" spans="1:5" ht="15" customHeight="1">
      <c r="A26" s="16" t="s">
        <v>78</v>
      </c>
      <c r="B26" s="201">
        <f>SUM(B27:B28)</f>
        <v>0</v>
      </c>
      <c r="C26" s="201">
        <f>SUM(C27:C28)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41" t="s">
        <v>134</v>
      </c>
      <c r="B27" s="201">
        <v>0</v>
      </c>
      <c r="C27" s="243">
        <v>0</v>
      </c>
      <c r="D27" s="26" t="str">
        <f t="shared" si="0"/>
        <v>   </v>
      </c>
      <c r="E27" s="42">
        <f t="shared" si="1"/>
        <v>0</v>
      </c>
    </row>
    <row r="28" spans="1:5" ht="26.25" customHeight="1">
      <c r="A28" s="16" t="s">
        <v>79</v>
      </c>
      <c r="B28" s="201">
        <v>0</v>
      </c>
      <c r="C28" s="243">
        <v>0</v>
      </c>
      <c r="D28" s="26" t="str">
        <f t="shared" si="0"/>
        <v>   </v>
      </c>
      <c r="E28" s="42">
        <f t="shared" si="1"/>
        <v>0</v>
      </c>
    </row>
    <row r="29" spans="1:5" ht="16.5" customHeight="1">
      <c r="A29" s="16" t="s">
        <v>31</v>
      </c>
      <c r="B29" s="201">
        <v>0</v>
      </c>
      <c r="C29" s="201">
        <v>0</v>
      </c>
      <c r="D29" s="26"/>
      <c r="E29" s="42">
        <f t="shared" si="1"/>
        <v>0</v>
      </c>
    </row>
    <row r="30" spans="1:5" ht="18.75" customHeight="1">
      <c r="A30" s="16" t="s">
        <v>32</v>
      </c>
      <c r="B30" s="201">
        <f>B31+B32</f>
        <v>0</v>
      </c>
      <c r="C30" s="200">
        <f>C31+C32</f>
        <v>-13269.18</v>
      </c>
      <c r="D30" s="26" t="str">
        <f t="shared" si="0"/>
        <v>   </v>
      </c>
      <c r="E30" s="42">
        <f t="shared" si="1"/>
        <v>-13269.18</v>
      </c>
    </row>
    <row r="31" spans="1:5" ht="13.5" customHeight="1">
      <c r="A31" s="16" t="s">
        <v>126</v>
      </c>
      <c r="B31" s="201">
        <v>0</v>
      </c>
      <c r="C31" s="202">
        <v>-13269.18</v>
      </c>
      <c r="D31" s="26" t="str">
        <f t="shared" si="0"/>
        <v>   </v>
      </c>
      <c r="E31" s="42">
        <f t="shared" si="1"/>
        <v>-13269.18</v>
      </c>
    </row>
    <row r="32" spans="1:5" ht="13.5" customHeight="1">
      <c r="A32" s="16" t="s">
        <v>129</v>
      </c>
      <c r="B32" s="201">
        <v>0</v>
      </c>
      <c r="C32" s="202">
        <v>0</v>
      </c>
      <c r="D32" s="26"/>
      <c r="E32" s="42">
        <f t="shared" si="1"/>
        <v>0</v>
      </c>
    </row>
    <row r="33" spans="1:5" ht="21" customHeight="1">
      <c r="A33" s="173" t="s">
        <v>10</v>
      </c>
      <c r="B33" s="175">
        <f>SUM(B7,B9,B11,B13,B19,B20,B25,B26,B29,B30,B18)</f>
        <v>2098600</v>
      </c>
      <c r="C33" s="175">
        <f>SUM(C7,C9,C11,C13,C19,C20,C25,C26,C29,C30,C18)</f>
        <v>827535.6399999999</v>
      </c>
      <c r="D33" s="141">
        <f t="shared" si="0"/>
        <v>39.432747545983034</v>
      </c>
      <c r="E33" s="142">
        <f t="shared" si="1"/>
        <v>-1271064.36</v>
      </c>
    </row>
    <row r="34" spans="1:5" ht="18.75" customHeight="1">
      <c r="A34" s="181" t="s">
        <v>140</v>
      </c>
      <c r="B34" s="189">
        <f>SUM(B35:B38,B42:B43,B46,B47,B48,B41)</f>
        <v>5486103.75</v>
      </c>
      <c r="C34" s="189">
        <f>SUM(C35:C38,C43:C43,C46,C47,C48,C41)</f>
        <v>1964430</v>
      </c>
      <c r="D34" s="141">
        <f t="shared" si="0"/>
        <v>35.80737969091452</v>
      </c>
      <c r="E34" s="142">
        <f t="shared" si="1"/>
        <v>-3521673.75</v>
      </c>
    </row>
    <row r="35" spans="1:5" ht="16.5" customHeight="1">
      <c r="A35" s="17" t="s">
        <v>34</v>
      </c>
      <c r="B35" s="160">
        <v>3239600</v>
      </c>
      <c r="C35" s="243">
        <v>1619800</v>
      </c>
      <c r="D35" s="26">
        <f t="shared" si="0"/>
        <v>50</v>
      </c>
      <c r="E35" s="42">
        <f t="shared" si="1"/>
        <v>-1619800</v>
      </c>
    </row>
    <row r="36" spans="1:5" ht="16.5" customHeight="1">
      <c r="A36" s="17" t="s">
        <v>232</v>
      </c>
      <c r="B36" s="160">
        <v>0</v>
      </c>
      <c r="C36" s="243">
        <v>0</v>
      </c>
      <c r="D36" s="26" t="str">
        <f>IF(B36=0,"   ",C36/B36*100)</f>
        <v>   </v>
      </c>
      <c r="E36" s="42">
        <f>C36-B36</f>
        <v>0</v>
      </c>
    </row>
    <row r="37" spans="1:5" ht="24.75" customHeight="1">
      <c r="A37" s="134" t="s">
        <v>51</v>
      </c>
      <c r="B37" s="135">
        <v>180700</v>
      </c>
      <c r="C37" s="243">
        <v>75530</v>
      </c>
      <c r="D37" s="136">
        <f t="shared" si="0"/>
        <v>41.79856115107914</v>
      </c>
      <c r="E37" s="137">
        <f t="shared" si="1"/>
        <v>-105170</v>
      </c>
    </row>
    <row r="38" spans="1:5" ht="24.75" customHeight="1">
      <c r="A38" s="109" t="s">
        <v>148</v>
      </c>
      <c r="B38" s="135">
        <f>SUM(B39:B40)</f>
        <v>19800</v>
      </c>
      <c r="C38" s="135">
        <f>SUM(C39:C40)</f>
        <v>0</v>
      </c>
      <c r="D38" s="136">
        <f t="shared" si="0"/>
        <v>0</v>
      </c>
      <c r="E38" s="137">
        <f t="shared" si="1"/>
        <v>-19800</v>
      </c>
    </row>
    <row r="39" spans="1:5" ht="12.75" customHeight="1">
      <c r="A39" s="109" t="s">
        <v>164</v>
      </c>
      <c r="B39" s="135">
        <v>100</v>
      </c>
      <c r="C39" s="135">
        <v>0</v>
      </c>
      <c r="D39" s="136">
        <f>IF(B39=0,"   ",C39/B39*100)</f>
        <v>0</v>
      </c>
      <c r="E39" s="137">
        <f>C39-B39</f>
        <v>-100</v>
      </c>
    </row>
    <row r="40" spans="1:5" ht="24.75" customHeight="1">
      <c r="A40" s="109" t="s">
        <v>165</v>
      </c>
      <c r="B40" s="135">
        <v>19700</v>
      </c>
      <c r="C40" s="135">
        <v>0</v>
      </c>
      <c r="D40" s="136">
        <f>IF(B40=0,"   ",C40/B40*100)</f>
        <v>0</v>
      </c>
      <c r="E40" s="137">
        <f>C40-B40</f>
        <v>-19700</v>
      </c>
    </row>
    <row r="41" spans="1:5" ht="54" customHeight="1">
      <c r="A41" s="16" t="s">
        <v>241</v>
      </c>
      <c r="B41" s="135">
        <v>706300</v>
      </c>
      <c r="C41" s="135">
        <v>0</v>
      </c>
      <c r="D41" s="136">
        <f>IF(B41=0,"   ",C41/B41*100)</f>
        <v>0</v>
      </c>
      <c r="E41" s="137">
        <f>C41-B41</f>
        <v>-706300</v>
      </c>
    </row>
    <row r="42" spans="1:5" ht="31.5" customHeight="1">
      <c r="A42" s="16" t="s">
        <v>284</v>
      </c>
      <c r="B42" s="135">
        <v>211616.16</v>
      </c>
      <c r="C42" s="135">
        <v>0</v>
      </c>
      <c r="D42" s="136">
        <f>IF(B42=0,"   ",C42/B42*100)</f>
        <v>0</v>
      </c>
      <c r="E42" s="137">
        <f>C42-B42</f>
        <v>-211616.16</v>
      </c>
    </row>
    <row r="43" spans="1:5" ht="18" customHeight="1">
      <c r="A43" s="16" t="s">
        <v>55</v>
      </c>
      <c r="B43" s="166">
        <f>B45+B44</f>
        <v>951300</v>
      </c>
      <c r="C43" s="166">
        <f>C45+C44</f>
        <v>269100</v>
      </c>
      <c r="D43" s="26">
        <f t="shared" si="0"/>
        <v>28.2876064333018</v>
      </c>
      <c r="E43" s="42">
        <f t="shared" si="1"/>
        <v>-682200</v>
      </c>
    </row>
    <row r="44" spans="1:5" ht="24.75" customHeight="1">
      <c r="A44" s="46" t="s">
        <v>189</v>
      </c>
      <c r="B44" s="166">
        <v>395200</v>
      </c>
      <c r="C44" s="166">
        <v>0</v>
      </c>
      <c r="D44" s="26">
        <f t="shared" si="0"/>
        <v>0</v>
      </c>
      <c r="E44" s="42">
        <f t="shared" si="1"/>
        <v>-395200</v>
      </c>
    </row>
    <row r="45" spans="1:5" s="7" customFormat="1" ht="15.75" customHeight="1">
      <c r="A45" s="16" t="s">
        <v>109</v>
      </c>
      <c r="B45" s="166">
        <v>556100</v>
      </c>
      <c r="C45" s="166">
        <v>269100</v>
      </c>
      <c r="D45" s="47">
        <f t="shared" si="0"/>
        <v>48.39057723431038</v>
      </c>
      <c r="E45" s="40">
        <f t="shared" si="1"/>
        <v>-287000</v>
      </c>
    </row>
    <row r="46" spans="1:5" ht="39" customHeight="1">
      <c r="A46" s="16" t="s">
        <v>103</v>
      </c>
      <c r="B46" s="166">
        <v>0</v>
      </c>
      <c r="C46" s="166">
        <v>0</v>
      </c>
      <c r="D46" s="26" t="str">
        <f t="shared" si="0"/>
        <v>   </v>
      </c>
      <c r="E46" s="42">
        <f t="shared" si="1"/>
        <v>0</v>
      </c>
    </row>
    <row r="47" spans="1:5" ht="24" customHeight="1">
      <c r="A47" s="143" t="s">
        <v>171</v>
      </c>
      <c r="B47" s="166">
        <v>0</v>
      </c>
      <c r="C47" s="166">
        <v>0</v>
      </c>
      <c r="D47" s="26" t="str">
        <f t="shared" si="0"/>
        <v>   </v>
      </c>
      <c r="E47" s="42">
        <f t="shared" si="1"/>
        <v>0</v>
      </c>
    </row>
    <row r="48" spans="1:5" ht="24.75" customHeight="1">
      <c r="A48" s="16" t="s">
        <v>200</v>
      </c>
      <c r="B48" s="166">
        <v>176787.59</v>
      </c>
      <c r="C48" s="166">
        <v>0</v>
      </c>
      <c r="D48" s="26">
        <f t="shared" si="0"/>
        <v>0</v>
      </c>
      <c r="E48" s="42">
        <f t="shared" si="1"/>
        <v>-176787.59</v>
      </c>
    </row>
    <row r="49" spans="1:5" ht="33" customHeight="1">
      <c r="A49" s="173" t="s">
        <v>11</v>
      </c>
      <c r="B49" s="150">
        <f>SUM(B33,B34,)</f>
        <v>7584703.75</v>
      </c>
      <c r="C49" s="150">
        <f>SUM(C33,C34,)</f>
        <v>2791965.6399999997</v>
      </c>
      <c r="D49" s="141">
        <f t="shared" si="0"/>
        <v>36.81047713959823</v>
      </c>
      <c r="E49" s="142">
        <f t="shared" si="1"/>
        <v>-4792738.11</v>
      </c>
    </row>
    <row r="50" spans="1:5" ht="12.75" customHeight="1">
      <c r="A50" s="22" t="s">
        <v>12</v>
      </c>
      <c r="B50" s="44"/>
      <c r="C50" s="45"/>
      <c r="D50" s="26" t="str">
        <f t="shared" si="0"/>
        <v>   </v>
      </c>
      <c r="E50" s="42"/>
    </row>
    <row r="51" spans="1:5" ht="24" customHeight="1">
      <c r="A51" s="16" t="s">
        <v>35</v>
      </c>
      <c r="B51" s="25">
        <f>SUM(B52,B55,B56)</f>
        <v>1238300</v>
      </c>
      <c r="C51" s="25">
        <f>SUM(C52,C55,C56)</f>
        <v>569082.8</v>
      </c>
      <c r="D51" s="26">
        <f t="shared" si="0"/>
        <v>45.9567794557054</v>
      </c>
      <c r="E51" s="42">
        <f t="shared" si="1"/>
        <v>-669217.2</v>
      </c>
    </row>
    <row r="52" spans="1:5" ht="12.75" customHeight="1">
      <c r="A52" s="16" t="s">
        <v>36</v>
      </c>
      <c r="B52" s="25">
        <v>1212800</v>
      </c>
      <c r="C52" s="25">
        <v>569082.8</v>
      </c>
      <c r="D52" s="26">
        <f t="shared" si="0"/>
        <v>46.923054089709765</v>
      </c>
      <c r="E52" s="42">
        <f t="shared" si="1"/>
        <v>-643717.2</v>
      </c>
    </row>
    <row r="53" spans="1:5" ht="12.75">
      <c r="A53" s="85" t="s">
        <v>121</v>
      </c>
      <c r="B53" s="25">
        <v>753840</v>
      </c>
      <c r="C53" s="28">
        <v>367058.93</v>
      </c>
      <c r="D53" s="26">
        <f t="shared" si="0"/>
        <v>48.691888199087344</v>
      </c>
      <c r="E53" s="42">
        <f t="shared" si="1"/>
        <v>-386781.07</v>
      </c>
    </row>
    <row r="54" spans="1:5" ht="12.75">
      <c r="A54" s="85" t="s">
        <v>293</v>
      </c>
      <c r="B54" s="25">
        <v>100</v>
      </c>
      <c r="C54" s="28">
        <v>0</v>
      </c>
      <c r="D54" s="26">
        <f>IF(B54=0,"   ",C54/B54*100)</f>
        <v>0</v>
      </c>
      <c r="E54" s="42">
        <f>C54-B54</f>
        <v>-100</v>
      </c>
    </row>
    <row r="55" spans="1:5" ht="12.75">
      <c r="A55" s="16" t="s">
        <v>95</v>
      </c>
      <c r="B55" s="25">
        <v>500</v>
      </c>
      <c r="C55" s="27">
        <v>0</v>
      </c>
      <c r="D55" s="26">
        <f t="shared" si="0"/>
        <v>0</v>
      </c>
      <c r="E55" s="42">
        <f t="shared" si="1"/>
        <v>-500</v>
      </c>
    </row>
    <row r="56" spans="1:5" ht="12.75">
      <c r="A56" s="16" t="s">
        <v>52</v>
      </c>
      <c r="B56" s="27">
        <f>SUM(B57:B58)</f>
        <v>25000</v>
      </c>
      <c r="C56" s="27">
        <f>SUM(C57:C58)</f>
        <v>0</v>
      </c>
      <c r="D56" s="26">
        <f t="shared" si="0"/>
        <v>0</v>
      </c>
      <c r="E56" s="42">
        <f t="shared" si="1"/>
        <v>-25000</v>
      </c>
    </row>
    <row r="57" spans="1:5" ht="12.75">
      <c r="A57" s="105" t="s">
        <v>173</v>
      </c>
      <c r="B57" s="27">
        <v>0</v>
      </c>
      <c r="C57" s="27">
        <v>0</v>
      </c>
      <c r="D57" s="26" t="str">
        <f>IF(B57=0,"   ",C57/B57*100)</f>
        <v>   </v>
      </c>
      <c r="E57" s="42">
        <f>C57-B57</f>
        <v>0</v>
      </c>
    </row>
    <row r="58" spans="1:5" ht="39.75" customHeight="1">
      <c r="A58" s="105" t="s">
        <v>247</v>
      </c>
      <c r="B58" s="25">
        <v>25000</v>
      </c>
      <c r="C58" s="27">
        <v>0</v>
      </c>
      <c r="D58" s="26">
        <f t="shared" si="0"/>
        <v>0</v>
      </c>
      <c r="E58" s="42">
        <f t="shared" si="1"/>
        <v>-25000</v>
      </c>
    </row>
    <row r="59" spans="1:5" ht="22.5" customHeight="1">
      <c r="A59" s="16" t="s">
        <v>49</v>
      </c>
      <c r="B59" s="27">
        <f>SUM(B60)</f>
        <v>180700</v>
      </c>
      <c r="C59" s="27">
        <f>SUM(C60)</f>
        <v>56164.5</v>
      </c>
      <c r="D59" s="26">
        <f t="shared" si="0"/>
        <v>31.081627006087437</v>
      </c>
      <c r="E59" s="42">
        <f t="shared" si="1"/>
        <v>-124535.5</v>
      </c>
    </row>
    <row r="60" spans="1:5" ht="12" customHeight="1">
      <c r="A60" s="16" t="s">
        <v>107</v>
      </c>
      <c r="B60" s="25">
        <v>180700</v>
      </c>
      <c r="C60" s="27">
        <v>56164.5</v>
      </c>
      <c r="D60" s="26">
        <f t="shared" si="0"/>
        <v>31.081627006087437</v>
      </c>
      <c r="E60" s="42">
        <f t="shared" si="1"/>
        <v>-124535.5</v>
      </c>
    </row>
    <row r="61" spans="1:5" ht="16.5" customHeight="1">
      <c r="A61" s="16" t="s">
        <v>37</v>
      </c>
      <c r="B61" s="25">
        <f>SUM(B62)</f>
        <v>5000</v>
      </c>
      <c r="C61" s="27">
        <f>SUM(C62)</f>
        <v>5000</v>
      </c>
      <c r="D61" s="26">
        <f t="shared" si="0"/>
        <v>100</v>
      </c>
      <c r="E61" s="42">
        <f t="shared" si="1"/>
        <v>0</v>
      </c>
    </row>
    <row r="62" spans="1:5" ht="16.5" customHeight="1">
      <c r="A62" s="41" t="s">
        <v>128</v>
      </c>
      <c r="B62" s="25">
        <v>5000</v>
      </c>
      <c r="C62" s="27">
        <v>5000</v>
      </c>
      <c r="D62" s="26">
        <f t="shared" si="0"/>
        <v>100</v>
      </c>
      <c r="E62" s="42">
        <f t="shared" si="1"/>
        <v>0</v>
      </c>
    </row>
    <row r="63" spans="1:5" ht="21.75" customHeight="1">
      <c r="A63" s="16" t="s">
        <v>38</v>
      </c>
      <c r="B63" s="27">
        <f>B67+B64+B75</f>
        <v>2356372.2199999997</v>
      </c>
      <c r="C63" s="27">
        <f>C67+C64+C75</f>
        <v>315764.57</v>
      </c>
      <c r="D63" s="26">
        <f t="shared" si="0"/>
        <v>13.400453770414932</v>
      </c>
      <c r="E63" s="42">
        <f t="shared" si="1"/>
        <v>-2040607.6499999997</v>
      </c>
    </row>
    <row r="64" spans="1:5" ht="21.75" customHeight="1">
      <c r="A64" s="75" t="s">
        <v>166</v>
      </c>
      <c r="B64" s="25">
        <f>SUM(B65+B66)</f>
        <v>19700</v>
      </c>
      <c r="C64" s="25">
        <f>SUM(C65+C66)</f>
        <v>0</v>
      </c>
      <c r="D64" s="26">
        <f>IF(B64=0,"   ",C64/B64*100)</f>
        <v>0</v>
      </c>
      <c r="E64" s="42">
        <f>C64-B64</f>
        <v>-19700</v>
      </c>
    </row>
    <row r="65" spans="1:5" ht="21.75" customHeight="1">
      <c r="A65" s="75" t="s">
        <v>167</v>
      </c>
      <c r="B65" s="25">
        <v>19700</v>
      </c>
      <c r="C65" s="126">
        <v>0</v>
      </c>
      <c r="D65" s="26">
        <f>IF(B65=0,"   ",C65/B65*100)</f>
        <v>0</v>
      </c>
      <c r="E65" s="42">
        <f>C65-B65</f>
        <v>-19700</v>
      </c>
    </row>
    <row r="66" spans="1:5" ht="21.75" customHeight="1">
      <c r="A66" s="75" t="s">
        <v>170</v>
      </c>
      <c r="B66" s="118">
        <v>0</v>
      </c>
      <c r="C66" s="126">
        <v>0</v>
      </c>
      <c r="D66" s="26"/>
      <c r="E66" s="42"/>
    </row>
    <row r="67" spans="1:5" ht="12" customHeight="1">
      <c r="A67" s="96" t="s">
        <v>131</v>
      </c>
      <c r="B67" s="118">
        <f>SUM(B68:B74)</f>
        <v>2236672.2199999997</v>
      </c>
      <c r="C67" s="118">
        <f>SUM(C68:C74)</f>
        <v>315764.57</v>
      </c>
      <c r="D67" s="26">
        <f t="shared" si="0"/>
        <v>14.11760593154772</v>
      </c>
      <c r="E67" s="42">
        <f t="shared" si="1"/>
        <v>-1920907.6499999997</v>
      </c>
    </row>
    <row r="68" spans="1:5" ht="27" customHeight="1">
      <c r="A68" s="75" t="s">
        <v>149</v>
      </c>
      <c r="B68" s="25">
        <v>30000</v>
      </c>
      <c r="C68" s="27">
        <v>0</v>
      </c>
      <c r="D68" s="26">
        <f t="shared" si="0"/>
        <v>0</v>
      </c>
      <c r="E68" s="42">
        <f t="shared" si="1"/>
        <v>-30000</v>
      </c>
    </row>
    <row r="69" spans="1:5" ht="30.75" customHeight="1">
      <c r="A69" s="71" t="s">
        <v>262</v>
      </c>
      <c r="B69" s="25">
        <v>753972.22</v>
      </c>
      <c r="C69" s="27">
        <v>0</v>
      </c>
      <c r="D69" s="26">
        <f t="shared" si="0"/>
        <v>0</v>
      </c>
      <c r="E69" s="42">
        <f t="shared" si="1"/>
        <v>-753972.22</v>
      </c>
    </row>
    <row r="70" spans="1:5" ht="29.25" customHeight="1">
      <c r="A70" s="71" t="s">
        <v>263</v>
      </c>
      <c r="B70" s="25">
        <v>50000</v>
      </c>
      <c r="C70" s="27">
        <v>16764.57</v>
      </c>
      <c r="D70" s="26">
        <f t="shared" si="0"/>
        <v>33.52914</v>
      </c>
      <c r="E70" s="42">
        <f t="shared" si="1"/>
        <v>-33235.43</v>
      </c>
    </row>
    <row r="71" spans="1:5" ht="27" customHeight="1">
      <c r="A71" s="71" t="s">
        <v>264</v>
      </c>
      <c r="B71" s="25">
        <v>706300</v>
      </c>
      <c r="C71" s="27">
        <v>0</v>
      </c>
      <c r="D71" s="26">
        <f t="shared" si="0"/>
        <v>0</v>
      </c>
      <c r="E71" s="42">
        <f t="shared" si="1"/>
        <v>-706300</v>
      </c>
    </row>
    <row r="72" spans="1:5" ht="27" customHeight="1">
      <c r="A72" s="71" t="s">
        <v>265</v>
      </c>
      <c r="B72" s="114">
        <v>78500</v>
      </c>
      <c r="C72" s="27">
        <v>0</v>
      </c>
      <c r="D72" s="26">
        <f t="shared" si="0"/>
        <v>0</v>
      </c>
      <c r="E72" s="42">
        <f t="shared" si="1"/>
        <v>-78500</v>
      </c>
    </row>
    <row r="73" spans="1:5" ht="27" customHeight="1">
      <c r="A73" s="71" t="s">
        <v>266</v>
      </c>
      <c r="B73" s="114">
        <v>556100</v>
      </c>
      <c r="C73" s="27">
        <v>269100</v>
      </c>
      <c r="D73" s="26">
        <f t="shared" si="0"/>
        <v>48.39057723431038</v>
      </c>
      <c r="E73" s="42">
        <f t="shared" si="1"/>
        <v>-287000</v>
      </c>
    </row>
    <row r="74" spans="1:5" ht="27" customHeight="1">
      <c r="A74" s="71" t="s">
        <v>267</v>
      </c>
      <c r="B74" s="114">
        <v>61800</v>
      </c>
      <c r="C74" s="27">
        <v>29900</v>
      </c>
      <c r="D74" s="26">
        <f t="shared" si="0"/>
        <v>48.381877022653725</v>
      </c>
      <c r="E74" s="42">
        <f t="shared" si="1"/>
        <v>-31900</v>
      </c>
    </row>
    <row r="75" spans="1:5" ht="17.25" customHeight="1">
      <c r="A75" s="96" t="s">
        <v>178</v>
      </c>
      <c r="B75" s="114">
        <f>SUM(B76:B77)</f>
        <v>100000</v>
      </c>
      <c r="C75" s="114">
        <f>SUM(C76:C77)</f>
        <v>0</v>
      </c>
      <c r="D75" s="26">
        <f>IF(B75=0,"   ",C75/B75*100)</f>
        <v>0</v>
      </c>
      <c r="E75" s="42">
        <f>C75-B75</f>
        <v>-100000</v>
      </c>
    </row>
    <row r="76" spans="1:5" ht="33" customHeight="1">
      <c r="A76" s="105" t="s">
        <v>155</v>
      </c>
      <c r="B76" s="114">
        <v>50000</v>
      </c>
      <c r="C76" s="27">
        <v>0</v>
      </c>
      <c r="D76" s="26">
        <f>IF(B76=0,"   ",C76/B76*100)</f>
        <v>0</v>
      </c>
      <c r="E76" s="42">
        <f>C76-B76</f>
        <v>-50000</v>
      </c>
    </row>
    <row r="77" spans="1:5" ht="27" customHeight="1">
      <c r="A77" s="75" t="s">
        <v>179</v>
      </c>
      <c r="B77" s="114">
        <v>50000</v>
      </c>
      <c r="C77" s="27">
        <v>0</v>
      </c>
      <c r="D77" s="26">
        <f>IF(B77=0,"   ",C77/B77*100)</f>
        <v>0</v>
      </c>
      <c r="E77" s="42">
        <f>C77-B77</f>
        <v>-50000</v>
      </c>
    </row>
    <row r="78" spans="1:5" ht="20.25" customHeight="1">
      <c r="A78" s="16" t="s">
        <v>13</v>
      </c>
      <c r="B78" s="25">
        <f>SUM(B79,B81,B86,)</f>
        <v>1533281.88</v>
      </c>
      <c r="C78" s="25">
        <f>SUM(C79,C81,C86,)</f>
        <v>286161.51</v>
      </c>
      <c r="D78" s="26">
        <f t="shared" si="0"/>
        <v>18.6633334504677</v>
      </c>
      <c r="E78" s="42">
        <f t="shared" si="1"/>
        <v>-1247120.3699999999</v>
      </c>
    </row>
    <row r="79" spans="1:5" ht="12.75">
      <c r="A79" s="16" t="s">
        <v>14</v>
      </c>
      <c r="B79" s="25">
        <f>SUM(B80:B80)</f>
        <v>0</v>
      </c>
      <c r="C79" s="25">
        <f>SUM(C80:C80)</f>
        <v>0</v>
      </c>
      <c r="D79" s="26" t="str">
        <f t="shared" si="0"/>
        <v>   </v>
      </c>
      <c r="E79" s="42">
        <f t="shared" si="1"/>
        <v>0</v>
      </c>
    </row>
    <row r="80" spans="1:5" ht="15.75" customHeight="1">
      <c r="A80" s="16" t="s">
        <v>98</v>
      </c>
      <c r="B80" s="25">
        <v>0</v>
      </c>
      <c r="C80" s="27">
        <v>0</v>
      </c>
      <c r="D80" s="26" t="str">
        <f t="shared" si="0"/>
        <v>   </v>
      </c>
      <c r="E80" s="42">
        <f t="shared" si="1"/>
        <v>0</v>
      </c>
    </row>
    <row r="81" spans="1:5" ht="12.75">
      <c r="A81" s="16" t="s">
        <v>90</v>
      </c>
      <c r="B81" s="25">
        <f>SUM(B83:B85)</f>
        <v>512474.88</v>
      </c>
      <c r="C81" s="25">
        <f>SUM(C83:C85)</f>
        <v>0</v>
      </c>
      <c r="D81" s="26">
        <f t="shared" si="0"/>
        <v>0</v>
      </c>
      <c r="E81" s="42">
        <f t="shared" si="1"/>
        <v>-512474.88</v>
      </c>
    </row>
    <row r="82" spans="1:5" ht="26.25">
      <c r="A82" s="105" t="s">
        <v>207</v>
      </c>
      <c r="B82" s="25">
        <f>SUM(B83:B85)</f>
        <v>512474.88</v>
      </c>
      <c r="C82" s="25">
        <f>SUM(C83:C85)</f>
        <v>0</v>
      </c>
      <c r="D82" s="26">
        <f>IF(B82=0,"   ",C82/B82*100)</f>
        <v>0</v>
      </c>
      <c r="E82" s="42">
        <f>C82-B82</f>
        <v>-512474.88</v>
      </c>
    </row>
    <row r="83" spans="1:5" ht="26.25">
      <c r="A83" s="105" t="s">
        <v>214</v>
      </c>
      <c r="B83" s="25">
        <v>307500</v>
      </c>
      <c r="C83" s="25">
        <v>0</v>
      </c>
      <c r="D83" s="26">
        <f>IF(B83=0,"   ",C83/B83*100)</f>
        <v>0</v>
      </c>
      <c r="E83" s="42">
        <f>C83-B83</f>
        <v>-307500</v>
      </c>
    </row>
    <row r="84" spans="1:5" ht="26.25">
      <c r="A84" s="105" t="s">
        <v>215</v>
      </c>
      <c r="B84" s="25">
        <v>102487.44</v>
      </c>
      <c r="C84" s="25">
        <v>0</v>
      </c>
      <c r="D84" s="26">
        <f>IF(B84=0,"   ",C84/B84*100)</f>
        <v>0</v>
      </c>
      <c r="E84" s="42">
        <f>C84-B84</f>
        <v>-102487.44</v>
      </c>
    </row>
    <row r="85" spans="1:5" ht="26.25">
      <c r="A85" s="105" t="s">
        <v>216</v>
      </c>
      <c r="B85" s="25">
        <v>102487.44</v>
      </c>
      <c r="C85" s="27">
        <v>0</v>
      </c>
      <c r="D85" s="26">
        <f t="shared" si="0"/>
        <v>0</v>
      </c>
      <c r="E85" s="42">
        <f t="shared" si="1"/>
        <v>-102487.44</v>
      </c>
    </row>
    <row r="86" spans="1:5" ht="12.75">
      <c r="A86" s="16" t="s">
        <v>69</v>
      </c>
      <c r="B86" s="25">
        <f>B87+B88+B89+B93</f>
        <v>1020807</v>
      </c>
      <c r="C86" s="25">
        <f>C87+C88+C89+C93</f>
        <v>286161.51</v>
      </c>
      <c r="D86" s="26">
        <f t="shared" si="0"/>
        <v>28.032871052020607</v>
      </c>
      <c r="E86" s="42">
        <f t="shared" si="1"/>
        <v>-734645.49</v>
      </c>
    </row>
    <row r="87" spans="1:5" ht="12.75">
      <c r="A87" s="16" t="s">
        <v>56</v>
      </c>
      <c r="B87" s="25">
        <v>548600</v>
      </c>
      <c r="C87" s="27">
        <v>286161.51</v>
      </c>
      <c r="D87" s="26">
        <f t="shared" si="0"/>
        <v>52.16214181553044</v>
      </c>
      <c r="E87" s="42">
        <f t="shared" si="1"/>
        <v>-262438.49</v>
      </c>
    </row>
    <row r="88" spans="1:5" ht="12.75">
      <c r="A88" s="16" t="s">
        <v>57</v>
      </c>
      <c r="B88" s="25">
        <v>23100</v>
      </c>
      <c r="C88" s="27">
        <v>0</v>
      </c>
      <c r="D88" s="26">
        <f t="shared" si="0"/>
        <v>0</v>
      </c>
      <c r="E88" s="42">
        <f t="shared" si="1"/>
        <v>-23100</v>
      </c>
    </row>
    <row r="89" spans="1:5" ht="26.25">
      <c r="A89" s="105" t="s">
        <v>207</v>
      </c>
      <c r="B89" s="25">
        <f>SUM(B90:B92)</f>
        <v>146152</v>
      </c>
      <c r="C89" s="25">
        <f>SUM(C90:C92)</f>
        <v>0</v>
      </c>
      <c r="D89" s="26">
        <f aca="true" t="shared" si="2" ref="D89:D97">IF(B89=0,"   ",C89/B89*100)</f>
        <v>0</v>
      </c>
      <c r="E89" s="42">
        <f aca="true" t="shared" si="3" ref="E89:E97">C89-B89</f>
        <v>-146152</v>
      </c>
    </row>
    <row r="90" spans="1:5" ht="26.25">
      <c r="A90" s="105" t="s">
        <v>214</v>
      </c>
      <c r="B90" s="25">
        <v>87700</v>
      </c>
      <c r="C90" s="27">
        <v>0</v>
      </c>
      <c r="D90" s="26">
        <f t="shared" si="2"/>
        <v>0</v>
      </c>
      <c r="E90" s="42">
        <f t="shared" si="3"/>
        <v>-87700</v>
      </c>
    </row>
    <row r="91" spans="1:5" ht="26.25">
      <c r="A91" s="105" t="s">
        <v>215</v>
      </c>
      <c r="B91" s="25">
        <v>29226</v>
      </c>
      <c r="C91" s="27">
        <v>0</v>
      </c>
      <c r="D91" s="26">
        <f t="shared" si="2"/>
        <v>0</v>
      </c>
      <c r="E91" s="42">
        <f t="shared" si="3"/>
        <v>-29226</v>
      </c>
    </row>
    <row r="92" spans="1:5" ht="26.25">
      <c r="A92" s="105" t="s">
        <v>216</v>
      </c>
      <c r="B92" s="25">
        <v>29226</v>
      </c>
      <c r="C92" s="27">
        <v>0</v>
      </c>
      <c r="D92" s="26">
        <f t="shared" si="2"/>
        <v>0</v>
      </c>
      <c r="E92" s="42">
        <f t="shared" si="3"/>
        <v>-29226</v>
      </c>
    </row>
    <row r="93" spans="1:5" ht="15">
      <c r="A93" s="292" t="s">
        <v>279</v>
      </c>
      <c r="B93" s="25">
        <f>SUM(B94:B97)</f>
        <v>302955</v>
      </c>
      <c r="C93" s="25">
        <f>SUM(C95:C97)</f>
        <v>0</v>
      </c>
      <c r="D93" s="26">
        <f t="shared" si="2"/>
        <v>0</v>
      </c>
      <c r="E93" s="42">
        <f t="shared" si="3"/>
        <v>-302955</v>
      </c>
    </row>
    <row r="94" spans="1:5" ht="15">
      <c r="A94" s="292" t="s">
        <v>280</v>
      </c>
      <c r="B94" s="25">
        <v>209500</v>
      </c>
      <c r="C94" s="25">
        <v>0</v>
      </c>
      <c r="D94" s="26">
        <f t="shared" si="2"/>
        <v>0</v>
      </c>
      <c r="E94" s="42">
        <f t="shared" si="3"/>
        <v>-209500</v>
      </c>
    </row>
    <row r="95" spans="1:5" ht="15">
      <c r="A95" s="292" t="s">
        <v>281</v>
      </c>
      <c r="B95" s="25">
        <v>2116.16</v>
      </c>
      <c r="C95" s="27">
        <v>0</v>
      </c>
      <c r="D95" s="26">
        <f t="shared" si="2"/>
        <v>0</v>
      </c>
      <c r="E95" s="42">
        <f t="shared" si="3"/>
        <v>-2116.16</v>
      </c>
    </row>
    <row r="96" spans="1:5" ht="15">
      <c r="A96" s="292" t="s">
        <v>282</v>
      </c>
      <c r="B96" s="25">
        <v>46000</v>
      </c>
      <c r="C96" s="27">
        <v>0</v>
      </c>
      <c r="D96" s="26">
        <f t="shared" si="2"/>
        <v>0</v>
      </c>
      <c r="E96" s="42">
        <f t="shared" si="3"/>
        <v>-46000</v>
      </c>
    </row>
    <row r="97" spans="1:5" ht="15">
      <c r="A97" s="292" t="s">
        <v>283</v>
      </c>
      <c r="B97" s="25">
        <v>45338.84</v>
      </c>
      <c r="C97" s="27">
        <v>0</v>
      </c>
      <c r="D97" s="26">
        <f t="shared" si="2"/>
        <v>0</v>
      </c>
      <c r="E97" s="42">
        <f t="shared" si="3"/>
        <v>-45338.84</v>
      </c>
    </row>
    <row r="98" spans="1:5" ht="20.25" customHeight="1">
      <c r="A98" s="18" t="s">
        <v>17</v>
      </c>
      <c r="B98" s="31">
        <v>16000</v>
      </c>
      <c r="C98" s="31">
        <v>0</v>
      </c>
      <c r="D98" s="26">
        <f t="shared" si="0"/>
        <v>0</v>
      </c>
      <c r="E98" s="42">
        <f t="shared" si="1"/>
        <v>-16000</v>
      </c>
    </row>
    <row r="99" spans="1:5" ht="21.75" customHeight="1">
      <c r="A99" s="16" t="s">
        <v>41</v>
      </c>
      <c r="B99" s="24">
        <f>SUM(B100,)</f>
        <v>2444200</v>
      </c>
      <c r="C99" s="24">
        <f>SUM(C100,)</f>
        <v>1336100</v>
      </c>
      <c r="D99" s="26">
        <f t="shared" si="0"/>
        <v>54.66410277391376</v>
      </c>
      <c r="E99" s="42">
        <f t="shared" si="1"/>
        <v>-1108100</v>
      </c>
    </row>
    <row r="100" spans="1:5" ht="14.25" customHeight="1">
      <c r="A100" s="16" t="s">
        <v>42</v>
      </c>
      <c r="B100" s="25">
        <v>2444200</v>
      </c>
      <c r="C100" s="27">
        <v>1336100</v>
      </c>
      <c r="D100" s="26">
        <f t="shared" si="0"/>
        <v>54.66410277391376</v>
      </c>
      <c r="E100" s="42">
        <f t="shared" si="1"/>
        <v>-1108100</v>
      </c>
    </row>
    <row r="101" spans="1:5" ht="18.75" customHeight="1">
      <c r="A101" s="16" t="s">
        <v>124</v>
      </c>
      <c r="B101" s="25">
        <f>SUM(B102,)</f>
        <v>20000</v>
      </c>
      <c r="C101" s="25">
        <f>C102</f>
        <v>0</v>
      </c>
      <c r="D101" s="26">
        <f t="shared" si="0"/>
        <v>0</v>
      </c>
      <c r="E101" s="42">
        <f t="shared" si="1"/>
        <v>-20000</v>
      </c>
    </row>
    <row r="102" spans="1:5" ht="12.75" customHeight="1">
      <c r="A102" s="16" t="s">
        <v>43</v>
      </c>
      <c r="B102" s="25">
        <v>20000</v>
      </c>
      <c r="C102" s="28">
        <v>0</v>
      </c>
      <c r="D102" s="26">
        <f t="shared" si="0"/>
        <v>0</v>
      </c>
      <c r="E102" s="42">
        <f t="shared" si="1"/>
        <v>-20000</v>
      </c>
    </row>
    <row r="103" spans="1:5" ht="30.75" customHeight="1">
      <c r="A103" s="173" t="s">
        <v>15</v>
      </c>
      <c r="B103" s="150">
        <f>SUM(B51,B59,B61,B63,B78,B98,B99,B101,)</f>
        <v>7793854.1</v>
      </c>
      <c r="C103" s="150">
        <f>SUM(C51,C59,C61,C63,C78,C98,C99,C101,)</f>
        <v>2568273.38</v>
      </c>
      <c r="D103" s="141">
        <f>IF(B103=0,"   ",C103/B103*100)</f>
        <v>32.95254628900482</v>
      </c>
      <c r="E103" s="142">
        <f t="shared" si="1"/>
        <v>-5225580.72</v>
      </c>
    </row>
    <row r="104" spans="1:5" s="59" customFormat="1" ht="23.25" customHeight="1">
      <c r="A104" s="80" t="s">
        <v>225</v>
      </c>
      <c r="B104" s="80"/>
      <c r="C104" s="306"/>
      <c r="D104" s="306"/>
      <c r="E104" s="306"/>
    </row>
    <row r="105" spans="1:5" s="59" customFormat="1" ht="12" customHeight="1">
      <c r="A105" s="80" t="s">
        <v>154</v>
      </c>
      <c r="B105" s="80"/>
      <c r="C105" s="81" t="s">
        <v>251</v>
      </c>
      <c r="D105" s="82"/>
      <c r="E105" s="83"/>
    </row>
    <row r="106" spans="1:5" ht="15" customHeight="1">
      <c r="A106" s="7"/>
      <c r="B106" s="7"/>
      <c r="C106" s="6"/>
      <c r="D106" s="7"/>
      <c r="E106" s="2"/>
    </row>
    <row r="107" spans="1:5" ht="12" customHeight="1">
      <c r="A107" s="48"/>
      <c r="B107" s="48"/>
      <c r="C107" s="49"/>
      <c r="D107" s="50"/>
      <c r="E107" s="51"/>
    </row>
    <row r="108" spans="1:5" ht="12.75">
      <c r="A108" s="7"/>
      <c r="B108" s="7"/>
      <c r="C108" s="6"/>
      <c r="D108" s="7"/>
      <c r="E108" s="2"/>
    </row>
    <row r="109" spans="1:5" ht="12.75">
      <c r="A109" s="7"/>
      <c r="B109" s="7"/>
      <c r="C109" s="6"/>
      <c r="D109" s="7"/>
      <c r="E109" s="2"/>
    </row>
    <row r="110" spans="1:5" ht="12.75">
      <c r="A110" s="7"/>
      <c r="B110" s="7"/>
      <c r="C110" s="6"/>
      <c r="D110" s="7"/>
      <c r="E110" s="2"/>
    </row>
    <row r="111" spans="1:5" ht="12.75">
      <c r="A111" s="7"/>
      <c r="B111" s="7"/>
      <c r="C111" s="6"/>
      <c r="D111" s="7"/>
      <c r="E111" s="2"/>
    </row>
  </sheetData>
  <sheetProtection/>
  <mergeCells count="2">
    <mergeCell ref="A1:E1"/>
    <mergeCell ref="C104:E104"/>
  </mergeCells>
  <printOptions/>
  <pageMargins left="1.1811023622047245" right="0.7874015748031497" top="0.5118110236220472" bottom="0.4724409448818898" header="0.5118110236220472" footer="0.5118110236220472"/>
  <pageSetup fitToHeight="2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2020-07-06T11:20:52Z</cp:lastPrinted>
  <dcterms:created xsi:type="dcterms:W3CDTF">2001-03-21T05:21:19Z</dcterms:created>
  <dcterms:modified xsi:type="dcterms:W3CDTF">2020-07-06T11:20:58Z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