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'Лист1'!$A$1:$J$133</definedName>
  </definedNames>
  <calcPr fullCalcOnLoad="1"/>
</workbook>
</file>

<file path=xl/sharedStrings.xml><?xml version="1.0" encoding="utf-8"?>
<sst xmlns="http://schemas.openxmlformats.org/spreadsheetml/2006/main" count="1292" uniqueCount="326">
  <si>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</si>
  <si>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</si>
  <si>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</si>
  <si>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</si>
  <si>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</si>
  <si>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</si>
  <si>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</si>
  <si>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</si>
  <si>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</si>
  <si>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</si>
  <si>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</si>
  <si>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</si>
  <si>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</si>
  <si>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</si>
  <si>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</si>
  <si>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</si>
  <si>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</si>
  <si>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</si>
  <si>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</si>
  <si>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</si>
  <si>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</si>
  <si>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</si>
  <si>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</si>
  <si>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</si>
  <si>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</si>
  <si>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</si>
  <si>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</si>
  <si>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</si>
  <si>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</si>
  <si>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</si>
  <si>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</si>
  <si>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</si>
  <si>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</si>
  <si>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</si>
  <si>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</si>
  <si>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</si>
  <si>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</si>
  <si>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</si>
  <si>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</si>
  <si>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</si>
  <si>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</si>
  <si>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</si>
  <si>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</si>
  <si>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</si>
  <si>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</si>
  <si>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</si>
  <si>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</si>
  <si>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</si>
  <si>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</si>
  <si>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</si>
  <si>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</si>
  <si>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</si>
  <si>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</si>
  <si>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</si>
  <si>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</si>
  <si>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</si>
  <si>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</si>
  <si>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</si>
  <si>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</si>
  <si>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</si>
  <si>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</si>
  <si>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</si>
  <si>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</si>
  <si>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</si>
  <si>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</si>
  <si>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</si>
  <si>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</si>
  <si>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</si>
  <si>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</si>
  <si>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</si>
  <si>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</si>
  <si>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</si>
  <si>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</si>
  <si>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</si>
  <si>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</si>
  <si>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</si>
  <si>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</si>
  <si>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</si>
  <si>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</si>
  <si>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</si>
  <si>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</si>
  <si>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</si>
  <si>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</si>
  <si>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</si>
  <si>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</si>
  <si>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</si>
  <si>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</si>
  <si>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</si>
  <si>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</si>
  <si>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</si>
  <si>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</si>
  <si>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</si>
  <si>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</si>
  <si>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</si>
  <si>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</si>
  <si>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</si>
  <si>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</si>
  <si>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</si>
  <si>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</si>
  <si>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</si>
  <si>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</si>
  <si>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</si>
  <si>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</si>
  <si>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</si>
  <si>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</si>
  <si>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</si>
  <si>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</si>
  <si>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</si>
  <si>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</si>
  <si>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</si>
  <si>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</si>
  <si>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</si>
  <si>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</si>
  <si>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</si>
  <si>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</si>
  <si>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</si>
  <si>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</si>
  <si>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</si>
  <si>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</si>
  <si>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</si>
  <si>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</si>
  <si>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</si>
  <si>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</si>
  <si>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</si>
  <si>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</si>
  <si>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</si>
  <si>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</si>
  <si>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</si>
  <si>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</si>
  <si>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</si>
  <si>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</si>
  <si>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</si>
  <si>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</si>
  <si>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</si>
  <si>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</si>
  <si>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</si>
  <si>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</si>
  <si>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</si>
  <si>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</si>
  <si>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</si>
  <si>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</si>
  <si>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</si>
  <si>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</si>
  <si>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</si>
  <si>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</si>
  <si>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</si>
  <si>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</si>
  <si>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</si>
  <si>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</si>
  <si>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</si>
  <si>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</si>
  <si>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</si>
  <si>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</si>
  <si>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</si>
  <si>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</si>
  <si>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</si>
  <si>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</si>
  <si>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</si>
  <si>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</si>
  <si>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</si>
  <si>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</si>
  <si>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</si>
  <si>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</si>
  <si>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</si>
  <si>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</si>
  <si>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</si>
  <si>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</si>
  <si>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</si>
  <si>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</si>
  <si>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</si>
  <si>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</si>
  <si>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</si>
  <si>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</si>
  <si>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</si>
  <si>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</si>
  <si>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</si>
  <si>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</si>
  <si>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</si>
  <si>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</si>
  <si>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</si>
  <si>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</si>
  <si>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</si>
  <si>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</si>
  <si>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</si>
  <si>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</si>
  <si>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</si>
  <si>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</si>
  <si>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</si>
  <si>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</si>
  <si>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</si>
  <si>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</si>
  <si>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</si>
  <si>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</si>
  <si>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</si>
  <si>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</si>
  <si>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</si>
  <si>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</si>
  <si>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</si>
  <si>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</si>
  <si>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</si>
  <si>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</si>
  <si>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</si>
  <si>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</si>
  <si>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</si>
  <si>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</si>
  <si>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</si>
  <si>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</si>
  <si>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</si>
  <si>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</si>
  <si>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</si>
  <si>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</si>
  <si>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</si>
  <si>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</si>
  <si>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</si>
  <si>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</si>
  <si>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</si>
  <si>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</si>
  <si>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</si>
  <si>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</si>
  <si>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</si>
  <si>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</si>
  <si>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</si>
  <si>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</si>
  <si>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</si>
  <si>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</si>
  <si>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</si>
  <si>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</si>
  <si>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</si>
  <si>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</si>
  <si>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</si>
  <si>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</si>
  <si>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</si>
  <si>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</si>
  <si>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</si>
  <si>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</si>
  <si>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</si>
  <si>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</si>
  <si>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</si>
  <si>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</si>
  <si>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</si>
  <si>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</si>
  <si>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</si>
  <si>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</si>
  <si>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</si>
  <si>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</si>
  <si>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прочие выплаты по обязательствам  муниципального образования</t>
  </si>
  <si>
    <t>софинансирование  из местного бюджета  на капремонт и ремонт дворовых территорий многоквартирных домов (софин.местн.)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</si>
  <si>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</si>
  <si>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</si>
  <si>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</si>
  <si>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</si>
  <si>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</si>
  <si>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</si>
  <si>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</si>
  <si>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</si>
  <si>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</si>
  <si>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</si>
  <si>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</si>
  <si>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</si>
  <si>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</si>
  <si>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</si>
  <si>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</si>
  <si>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</si>
  <si>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</si>
  <si>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</si>
  <si>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</si>
  <si>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</si>
  <si>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</si>
  <si>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</si>
  <si>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</si>
  <si>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</si>
  <si>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</si>
  <si>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</si>
  <si>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</si>
  <si>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</si>
  <si>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</si>
  <si>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</si>
  <si>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</si>
  <si>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</si>
  <si>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</si>
  <si>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</si>
  <si>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</si>
  <si>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</si>
  <si>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</si>
  <si>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</si>
  <si>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</si>
  <si>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</si>
  <si>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</si>
  <si>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</si>
  <si>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</si>
  <si>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</si>
  <si>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</si>
  <si>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</si>
  <si>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</si>
  <si>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</si>
  <si>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</si>
  <si>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</si>
  <si>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</si>
  <si>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</si>
  <si>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</si>
  <si>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</si>
  <si>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</si>
  <si>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</si>
  <si>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</si>
  <si>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Начальник  финансового отдела</t>
  </si>
  <si>
    <t>Анализ  исполнения бюджета Андреево-Базарского сельского поселения за  август  2020 года</t>
  </si>
  <si>
    <t>Фактическое исполнение за  август  2020 года</t>
  </si>
  <si>
    <t>Анализ исполнения бюджета Аттиковского сельского поселения за август  2020 года</t>
  </si>
  <si>
    <t>Фактическое исполнение за август 2020 года</t>
  </si>
  <si>
    <t>Анализ исполнения бюджета  Байгуловского сельского поселения за август 2020 года</t>
  </si>
  <si>
    <t>Фактическое исполнение за  август 2020 года</t>
  </si>
  <si>
    <t>Анализ исполнения бюджета  Еметкинского сельского поселения за  август  2020 года</t>
  </si>
  <si>
    <t>Фактическое исполнение за август  2020 года</t>
  </si>
  <si>
    <t>Анализ исполнения бюджета  Карамышевского сельского поселения за август  2020 года</t>
  </si>
  <si>
    <t>Анализ исполнения бюджета  Карачевского сельского поселения за август  2020 года</t>
  </si>
  <si>
    <t>Анализ исполнения бюджета  Козловского  городского  поселения  за август  2020 года</t>
  </si>
  <si>
    <t>Анализ исполнения бюджета  Солдыбаевского сельского поселения за  август 2020 года</t>
  </si>
  <si>
    <t>Анализ исполнения бюджета  Тюрлеминского сельского поселения за август  2020 года</t>
  </si>
  <si>
    <t>Анализ исполнения бюджета  Янгильдинского сельского поселения за август  2020 года</t>
  </si>
  <si>
    <t>Анализ   исполнения   бюджетов   поселений   за  август  2020 года.</t>
  </si>
  <si>
    <t>Фактическое исполнение за  август   2020 года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</si>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</sst>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0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31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7" fillId="34" borderId="11" xfId="0" applyNumberFormat="1" applyFont="1" applyFill="1" applyBorder="1" applyAlignment="1">
      <alignment wrapText="1"/>
    </xf>
    <xf numFmtId="4" fontId="17" fillId="0" borderId="11" xfId="61" applyNumberFormat="1" applyFont="1" applyFill="1" applyBorder="1" applyAlignment="1">
      <alignment horizontal="right" wrapText="1"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1" fontId="18" fillId="0" borderId="15" xfId="61" applyFont="1" applyFill="1" applyBorder="1" applyAlignment="1">
      <alignment horizontal="center" vertical="center" wrapText="1"/>
    </xf>
    <xf numFmtId="41" fontId="18" fillId="0" borderId="18" xfId="6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1" fontId="19" fillId="0" borderId="0" xfId="61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61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3" xfId="61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41" fontId="19" fillId="0" borderId="11" xfId="6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1" fontId="19" fillId="0" borderId="13" xfId="6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 horizontal="right" wrapText="1"/>
    </xf>
    <xf numFmtId="2" fontId="19" fillId="0" borderId="11" xfId="57" applyNumberFormat="1" applyFont="1" applyFill="1" applyBorder="1" applyAlignment="1">
      <alignment wrapText="1"/>
    </xf>
    <xf numFmtId="2" fontId="19" fillId="0" borderId="13" xfId="61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1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center" wrapText="1"/>
    </xf>
    <xf numFmtId="4" fontId="19" fillId="34" borderId="11" xfId="0" applyNumberFormat="1" applyFont="1" applyFill="1" applyBorder="1" applyAlignment="1">
      <alignment wrapText="1"/>
    </xf>
    <xf numFmtId="164" fontId="19" fillId="0" borderId="11" xfId="57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2" fontId="22" fillId="0" borderId="11" xfId="57" applyNumberFormat="1" applyFont="1" applyFill="1" applyBorder="1" applyAlignment="1">
      <alignment wrapText="1"/>
    </xf>
    <xf numFmtId="2" fontId="22" fillId="0" borderId="13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4" fontId="24" fillId="0" borderId="11" xfId="61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41" fontId="0" fillId="0" borderId="11" xfId="61" applyFill="1" applyBorder="1" applyAlignment="1">
      <alignment wrapText="1"/>
    </xf>
    <xf numFmtId="41" fontId="0" fillId="0" borderId="11" xfId="6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41" fontId="18" fillId="0" borderId="11" xfId="61" applyFont="1" applyFill="1" applyBorder="1" applyAlignment="1">
      <alignment horizontal="right" wrapText="1"/>
    </xf>
    <xf numFmtId="2" fontId="0" fillId="0" borderId="34" xfId="0" applyNumberFormat="1" applyFont="1" applyFill="1" applyBorder="1" applyAlignment="1">
      <alignment wrapText="1"/>
    </xf>
    <xf numFmtId="2" fontId="0" fillId="0" borderId="35" xfId="61" applyNumberFormat="1" applyFont="1" applyFill="1" applyBorder="1" applyAlignment="1">
      <alignment horizontal="right" wrapText="1"/>
    </xf>
    <xf numFmtId="2" fontId="0" fillId="0" borderId="36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41" fontId="18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SheetLayoutView="100" workbookViewId="0" topLeftCell="A42">
      <selection activeCell="C47" sqref="C47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08" t="s">
        <v>305</v>
      </c>
      <c r="B1" s="308"/>
      <c r="C1" s="308"/>
      <c r="D1" s="308"/>
      <c r="E1" s="30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251</v>
      </c>
      <c r="C3" s="32" t="s">
        <v>306</v>
      </c>
      <c r="D3" s="19" t="s">
        <v>252</v>
      </c>
      <c r="E3" s="36" t="s">
        <v>253</v>
      </c>
    </row>
    <row r="4" spans="1:5" s="56" customFormat="1" ht="10.5" customHeight="1">
      <c r="A4" s="52">
        <v>1</v>
      </c>
      <c r="B4" s="251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203">
        <f>SUM(B9)</f>
        <v>143600</v>
      </c>
      <c r="C7" s="203">
        <f>C9</f>
        <v>77796.53</v>
      </c>
      <c r="D7" s="65">
        <f>IF(B7=0,"   ",C7/B7*100)</f>
        <v>54.175856545961</v>
      </c>
      <c r="E7" s="66">
        <f>C7-B7</f>
        <v>-65803.47</v>
      </c>
    </row>
    <row r="8" spans="1:5" s="59" customFormat="1" ht="12.75" customHeight="1" hidden="1">
      <c r="A8" s="41" t="s">
        <v>3</v>
      </c>
      <c r="B8" s="204">
        <v>387940</v>
      </c>
      <c r="C8" s="205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204">
        <v>143600</v>
      </c>
      <c r="C9" s="238">
        <v>77796.53</v>
      </c>
      <c r="D9" s="65">
        <f>IF(B9=0,"   ",C9/B9*100)</f>
        <v>54.175856545961</v>
      </c>
      <c r="E9" s="66">
        <f>C9-B9</f>
        <v>-65803.47</v>
      </c>
    </row>
    <row r="10" spans="1:5" s="59" customFormat="1" ht="12.75" customHeight="1" hidden="1">
      <c r="A10" s="41" t="s">
        <v>24</v>
      </c>
      <c r="B10" s="204"/>
      <c r="C10" s="205">
        <v>175</v>
      </c>
      <c r="D10" s="65"/>
      <c r="E10" s="66"/>
    </row>
    <row r="11" spans="1:5" s="67" customFormat="1" ht="12.75" customHeight="1" hidden="1">
      <c r="A11" s="41" t="s">
        <v>4</v>
      </c>
      <c r="B11" s="204">
        <f>SUM(B12:B13)</f>
        <v>1848003</v>
      </c>
      <c r="C11" s="204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204">
        <v>17853</v>
      </c>
      <c r="C12" s="205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204">
        <v>1830150</v>
      </c>
      <c r="C13" s="205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203">
        <f>SUM(B15)</f>
        <v>597200</v>
      </c>
      <c r="C14" s="203">
        <f>SUM(C15)</f>
        <v>363948.36</v>
      </c>
      <c r="D14" s="65">
        <f>IF(B14=0,"   ",C14/B14*100)</f>
        <v>60.942458137977226</v>
      </c>
      <c r="E14" s="66">
        <f>C14-B14</f>
        <v>-233251.64</v>
      </c>
    </row>
    <row r="15" spans="1:5" s="59" customFormat="1" ht="15.75" customHeight="1">
      <c r="A15" s="41" t="s">
        <v>138</v>
      </c>
      <c r="B15" s="204">
        <v>597200</v>
      </c>
      <c r="C15" s="238">
        <v>363948.36</v>
      </c>
      <c r="D15" s="65">
        <f>IF(B15=0,"   ",C15/B15*100)</f>
        <v>60.942458137977226</v>
      </c>
      <c r="E15" s="66">
        <f>C15-B15</f>
        <v>-233251.64</v>
      </c>
    </row>
    <row r="16" spans="1:5" s="67" customFormat="1" ht="17.25" customHeight="1">
      <c r="A16" s="41" t="s">
        <v>7</v>
      </c>
      <c r="B16" s="203">
        <f>SUM(B18)</f>
        <v>9900</v>
      </c>
      <c r="C16" s="204">
        <f>SUM(C18:C18)</f>
        <v>28495.93</v>
      </c>
      <c r="D16" s="65">
        <f>IF(B16=0,"   ",C16/B16*100)</f>
        <v>287.8376767676768</v>
      </c>
      <c r="E16" s="66">
        <f>C16-B16</f>
        <v>18595.93</v>
      </c>
    </row>
    <row r="17" spans="1:5" s="59" customFormat="1" ht="12.75" customHeight="1" hidden="1">
      <c r="A17" s="41" t="s">
        <v>8</v>
      </c>
      <c r="B17" s="204">
        <v>103725</v>
      </c>
      <c r="C17" s="205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204">
        <v>9900</v>
      </c>
      <c r="C18" s="238">
        <v>28495.93</v>
      </c>
      <c r="D18" s="65">
        <f aca="true" t="shared" si="0" ref="D18:D35">IF(B18=0,"   ",C18/B18*100)</f>
        <v>287.8376767676768</v>
      </c>
      <c r="E18" s="66">
        <f aca="true" t="shared" si="1" ref="E18:E35">C18-B18</f>
        <v>18595.93</v>
      </c>
    </row>
    <row r="19" spans="1:5" s="59" customFormat="1" ht="18" customHeight="1">
      <c r="A19" s="41" t="s">
        <v>9</v>
      </c>
      <c r="B19" s="204">
        <f>SUM(B20:B21)</f>
        <v>764000</v>
      </c>
      <c r="C19" s="204">
        <f>SUM(C20:C21)</f>
        <v>278350.83999999997</v>
      </c>
      <c r="D19" s="65">
        <f t="shared" si="0"/>
        <v>36.433356020942405</v>
      </c>
      <c r="E19" s="66">
        <f t="shared" si="1"/>
        <v>-485649.16000000003</v>
      </c>
    </row>
    <row r="20" spans="1:5" s="59" customFormat="1" ht="12.75">
      <c r="A20" s="41" t="s">
        <v>114</v>
      </c>
      <c r="B20" s="204">
        <v>253000</v>
      </c>
      <c r="C20" s="238">
        <v>45036.69</v>
      </c>
      <c r="D20" s="65">
        <f t="shared" si="0"/>
        <v>17.80106324110672</v>
      </c>
      <c r="E20" s="66">
        <f t="shared" si="1"/>
        <v>-207963.31</v>
      </c>
    </row>
    <row r="21" spans="1:5" s="59" customFormat="1" ht="16.5" customHeight="1">
      <c r="A21" s="41" t="s">
        <v>160</v>
      </c>
      <c r="B21" s="204">
        <f>SUM(B22:B23)</f>
        <v>511000</v>
      </c>
      <c r="C21" s="204">
        <f>SUM(C22:C23)</f>
        <v>233314.15</v>
      </c>
      <c r="D21" s="65">
        <f t="shared" si="0"/>
        <v>45.658346379647746</v>
      </c>
      <c r="E21" s="66">
        <f t="shared" si="1"/>
        <v>-277685.85</v>
      </c>
    </row>
    <row r="22" spans="1:5" s="59" customFormat="1" ht="12.75">
      <c r="A22" s="41" t="s">
        <v>161</v>
      </c>
      <c r="B22" s="204">
        <v>206000</v>
      </c>
      <c r="C22" s="238">
        <v>195059.55</v>
      </c>
      <c r="D22" s="65">
        <f t="shared" si="0"/>
        <v>94.68910194174757</v>
      </c>
      <c r="E22" s="66">
        <f t="shared" si="1"/>
        <v>-10940.450000000012</v>
      </c>
    </row>
    <row r="23" spans="1:5" s="59" customFormat="1" ht="12.75">
      <c r="A23" s="41" t="s">
        <v>162</v>
      </c>
      <c r="B23" s="204">
        <v>305000</v>
      </c>
      <c r="C23" s="238">
        <v>38254.6</v>
      </c>
      <c r="D23" s="65">
        <f t="shared" si="0"/>
        <v>12.542491803278688</v>
      </c>
      <c r="E23" s="66">
        <f t="shared" si="1"/>
        <v>-266745.4</v>
      </c>
    </row>
    <row r="24" spans="1:5" s="59" customFormat="1" ht="12.75">
      <c r="A24" s="41" t="s">
        <v>196</v>
      </c>
      <c r="B24" s="204">
        <v>0</v>
      </c>
      <c r="C24" s="238">
        <v>2620</v>
      </c>
      <c r="D24" s="65" t="str">
        <f t="shared" si="0"/>
        <v>   </v>
      </c>
      <c r="E24" s="66">
        <f t="shared" si="1"/>
        <v>2620</v>
      </c>
    </row>
    <row r="25" spans="1:5" s="59" customFormat="1" ht="19.5" customHeight="1">
      <c r="A25" s="41" t="s">
        <v>88</v>
      </c>
      <c r="B25" s="204">
        <v>0</v>
      </c>
      <c r="C25" s="204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204">
        <f>SUM(B27:B29)</f>
        <v>463400</v>
      </c>
      <c r="C26" s="204">
        <f>SUM(C27:C29)</f>
        <v>252057.05</v>
      </c>
      <c r="D26" s="65">
        <f t="shared" si="0"/>
        <v>54.3929758308157</v>
      </c>
      <c r="E26" s="66">
        <f t="shared" si="1"/>
        <v>-211342.95</v>
      </c>
    </row>
    <row r="27" spans="1:5" s="59" customFormat="1" ht="12.75">
      <c r="A27" s="41" t="s">
        <v>152</v>
      </c>
      <c r="B27" s="204">
        <v>453700</v>
      </c>
      <c r="C27" s="238">
        <v>241556.05</v>
      </c>
      <c r="D27" s="65">
        <f t="shared" si="0"/>
        <v>53.241359929468814</v>
      </c>
      <c r="E27" s="66">
        <f t="shared" si="1"/>
        <v>-212143.95</v>
      </c>
    </row>
    <row r="28" spans="1:5" s="59" customFormat="1" ht="15.75" customHeight="1">
      <c r="A28" s="41" t="s">
        <v>30</v>
      </c>
      <c r="B28" s="204">
        <v>0</v>
      </c>
      <c r="C28" s="205">
        <v>8501</v>
      </c>
      <c r="D28" s="65" t="str">
        <f t="shared" si="0"/>
        <v>   </v>
      </c>
      <c r="E28" s="66">
        <f t="shared" si="1"/>
        <v>8501</v>
      </c>
    </row>
    <row r="29" spans="1:5" s="59" customFormat="1" ht="44.25" customHeight="1">
      <c r="A29" s="16" t="s">
        <v>226</v>
      </c>
      <c r="B29" s="31">
        <v>9700</v>
      </c>
      <c r="C29" s="247">
        <v>2000</v>
      </c>
      <c r="D29" s="65">
        <f t="shared" si="0"/>
        <v>20.618556701030926</v>
      </c>
      <c r="E29" s="66">
        <f t="shared" si="1"/>
        <v>-7700</v>
      </c>
    </row>
    <row r="30" spans="1:5" s="59" customFormat="1" ht="18.75" customHeight="1">
      <c r="A30" s="41" t="s">
        <v>91</v>
      </c>
      <c r="B30" s="203">
        <v>0</v>
      </c>
      <c r="C30" s="205">
        <v>18626.72</v>
      </c>
      <c r="D30" s="65" t="str">
        <f t="shared" si="0"/>
        <v>   </v>
      </c>
      <c r="E30" s="66">
        <f t="shared" si="1"/>
        <v>18626.72</v>
      </c>
    </row>
    <row r="31" spans="1:5" s="59" customFormat="1" ht="16.5" customHeight="1">
      <c r="A31" s="41" t="s">
        <v>78</v>
      </c>
      <c r="B31" s="203">
        <f>B32+B33</f>
        <v>0</v>
      </c>
      <c r="C31" s="203">
        <f>C32+C33</f>
        <v>13580</v>
      </c>
      <c r="D31" s="65" t="str">
        <f t="shared" si="0"/>
        <v>   </v>
      </c>
      <c r="E31" s="66">
        <f t="shared" si="1"/>
        <v>13580</v>
      </c>
    </row>
    <row r="32" spans="1:5" s="59" customFormat="1" ht="16.5" customHeight="1">
      <c r="A32" s="41" t="s">
        <v>134</v>
      </c>
      <c r="B32" s="203">
        <v>0</v>
      </c>
      <c r="C32" s="238">
        <v>13580</v>
      </c>
      <c r="D32" s="65" t="str">
        <f t="shared" si="0"/>
        <v>   </v>
      </c>
      <c r="E32" s="66">
        <f t="shared" si="1"/>
        <v>13580</v>
      </c>
    </row>
    <row r="33" spans="1:5" s="59" customFormat="1" ht="27.75" customHeight="1">
      <c r="A33" s="41" t="s">
        <v>205</v>
      </c>
      <c r="B33" s="204">
        <v>0</v>
      </c>
      <c r="C33" s="206">
        <v>0</v>
      </c>
      <c r="D33" s="65" t="str">
        <f t="shared" si="0"/>
        <v>   </v>
      </c>
      <c r="E33" s="66">
        <f t="shared" si="1"/>
        <v>0</v>
      </c>
    </row>
    <row r="34" spans="1:5" s="59" customFormat="1" ht="15.75" customHeight="1">
      <c r="A34" s="16" t="s">
        <v>31</v>
      </c>
      <c r="B34" s="204">
        <v>0</v>
      </c>
      <c r="C34" s="206">
        <v>0</v>
      </c>
      <c r="D34" s="65" t="str">
        <f t="shared" si="0"/>
        <v>   </v>
      </c>
      <c r="E34" s="66">
        <f t="shared" si="1"/>
        <v>0</v>
      </c>
    </row>
    <row r="35" spans="1:5" s="59" customFormat="1" ht="15" customHeight="1">
      <c r="A35" s="41" t="s">
        <v>32</v>
      </c>
      <c r="B35" s="204">
        <f>B38+B39</f>
        <v>0</v>
      </c>
      <c r="C35" s="204">
        <f>SUM(C38:C39)</f>
        <v>0</v>
      </c>
      <c r="D35" s="65" t="str">
        <f t="shared" si="0"/>
        <v>   </v>
      </c>
      <c r="E35" s="66">
        <f t="shared" si="1"/>
        <v>0</v>
      </c>
    </row>
    <row r="36" spans="1:5" s="59" customFormat="1" ht="12.75" customHeight="1" hidden="1">
      <c r="A36" s="69" t="s">
        <v>33</v>
      </c>
      <c r="B36" s="204"/>
      <c r="C36" s="207"/>
      <c r="D36" s="65" t="e">
        <f>IF(#REF!=0,"   ",C36/#REF!)</f>
        <v>#REF!</v>
      </c>
      <c r="E36" s="66" t="e">
        <f>C36-#REF!</f>
        <v>#REF!</v>
      </c>
    </row>
    <row r="37" spans="1:5" s="9" customFormat="1" ht="12.75" customHeight="1" hidden="1">
      <c r="A37" s="69" t="s">
        <v>16</v>
      </c>
      <c r="B37" s="208" t="e">
        <f>SUM(B44,#REF!,#REF!,#REF!)</f>
        <v>#REF!</v>
      </c>
      <c r="C37" s="209" t="e">
        <f>SUM(C44,#REF!,#REF!,#REF!)</f>
        <v>#REF!</v>
      </c>
      <c r="D37" s="65" t="e">
        <f>IF(#REF!=0,"   ",C37/#REF!)</f>
        <v>#REF!</v>
      </c>
      <c r="E37" s="66" t="e">
        <f>C37-#REF!</f>
        <v>#REF!</v>
      </c>
    </row>
    <row r="38" spans="1:5" s="9" customFormat="1" ht="12.75">
      <c r="A38" s="41" t="s">
        <v>133</v>
      </c>
      <c r="B38" s="210">
        <v>0</v>
      </c>
      <c r="C38" s="203">
        <v>0</v>
      </c>
      <c r="D38" s="65" t="str">
        <f>IF(B38=0,"   ",C38/B38*100)</f>
        <v>   </v>
      </c>
      <c r="E38" s="66">
        <f>C38-B38</f>
        <v>0</v>
      </c>
    </row>
    <row r="39" spans="1:5" s="9" customFormat="1" ht="15" customHeight="1">
      <c r="A39" s="41" t="s">
        <v>108</v>
      </c>
      <c r="B39" s="204">
        <v>0</v>
      </c>
      <c r="C39" s="203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2.75" customHeight="1" hidden="1">
      <c r="A40" s="41" t="s">
        <v>46</v>
      </c>
      <c r="B40" s="208"/>
      <c r="C40" s="203">
        <v>0</v>
      </c>
      <c r="D40" s="65" t="e">
        <f>IF(#REF!=0,"   ",C40/#REF!)</f>
        <v>#REF!</v>
      </c>
      <c r="E40" s="66" t="e">
        <f>C40-#REF!</f>
        <v>#REF!</v>
      </c>
    </row>
    <row r="41" spans="1:5" s="9" customFormat="1" ht="0.75" customHeight="1" hidden="1">
      <c r="A41" s="88" t="s">
        <v>47</v>
      </c>
      <c r="B41" s="211">
        <v>1250</v>
      </c>
      <c r="C41" s="212"/>
      <c r="D41" s="90" t="e">
        <f>IF(#REF!=0,"   ",C41/#REF!)</f>
        <v>#REF!</v>
      </c>
      <c r="E41" s="91" t="e">
        <f>C41-#REF!</f>
        <v>#REF!</v>
      </c>
    </row>
    <row r="42" spans="1:5" s="9" customFormat="1" ht="22.5" customHeight="1">
      <c r="A42" s="190" t="s">
        <v>10</v>
      </c>
      <c r="B42" s="213">
        <f>B7+B16+B19+B25+B26+B30+B31+B35+B14+B34+B24</f>
        <v>1978100</v>
      </c>
      <c r="C42" s="209">
        <f>C7+C16+C19+C25+C26+C30+C31+C35+C14+C34+C24</f>
        <v>1035475.4299999998</v>
      </c>
      <c r="D42" s="141">
        <f aca="true" t="shared" si="2" ref="D42:D58">IF(B42=0,"   ",C42/B42*100)</f>
        <v>52.346970830595005</v>
      </c>
      <c r="E42" s="191">
        <f aca="true" t="shared" si="3" ref="E42:E58">C42-B42</f>
        <v>-942624.5700000002</v>
      </c>
    </row>
    <row r="43" spans="1:5" s="9" customFormat="1" ht="18.75" customHeight="1">
      <c r="A43" s="181" t="s">
        <v>140</v>
      </c>
      <c r="B43" s="214">
        <f>SUM(B44:B47,B50:B53,B58)</f>
        <v>8225506.8</v>
      </c>
      <c r="C43" s="215">
        <f>SUM(C44:C47,C50:C53,C58)</f>
        <v>1320900</v>
      </c>
      <c r="D43" s="65">
        <f t="shared" si="2"/>
        <v>16.058584985912358</v>
      </c>
      <c r="E43" s="68">
        <f t="shared" si="3"/>
        <v>-6904606.8</v>
      </c>
    </row>
    <row r="44" spans="1:5" s="59" customFormat="1" ht="19.5" customHeight="1">
      <c r="A44" s="92" t="s">
        <v>34</v>
      </c>
      <c r="B44" s="215">
        <v>796400</v>
      </c>
      <c r="C44" s="238">
        <v>530400</v>
      </c>
      <c r="D44" s="78">
        <f t="shared" si="2"/>
        <v>66.59969864389754</v>
      </c>
      <c r="E44" s="79">
        <f t="shared" si="3"/>
        <v>-266000</v>
      </c>
    </row>
    <row r="45" spans="1:5" s="59" customFormat="1" ht="19.5" customHeight="1">
      <c r="A45" s="17" t="s">
        <v>229</v>
      </c>
      <c r="B45" s="215">
        <v>0</v>
      </c>
      <c r="C45" s="238">
        <v>0</v>
      </c>
      <c r="D45" s="78" t="str">
        <f>IF(B45=0,"   ",C45/B45*100)</f>
        <v>   </v>
      </c>
      <c r="E45" s="79">
        <f>C45-B45</f>
        <v>0</v>
      </c>
    </row>
    <row r="46" spans="1:5" s="59" customFormat="1" ht="30" customHeight="1">
      <c r="A46" s="109" t="s">
        <v>51</v>
      </c>
      <c r="B46" s="249">
        <v>90400</v>
      </c>
      <c r="C46" s="247">
        <v>66200</v>
      </c>
      <c r="D46" s="110">
        <f t="shared" si="2"/>
        <v>73.23008849557522</v>
      </c>
      <c r="E46" s="111">
        <f t="shared" si="3"/>
        <v>-24200</v>
      </c>
    </row>
    <row r="47" spans="1:5" s="59" customFormat="1" ht="30" customHeight="1">
      <c r="A47" s="109" t="s">
        <v>148</v>
      </c>
      <c r="B47" s="249">
        <f>SUM(B48:B49)</f>
        <v>9900</v>
      </c>
      <c r="C47" s="249">
        <f>SUM(C48:C49)</f>
        <v>100</v>
      </c>
      <c r="D47" s="110">
        <f t="shared" si="2"/>
        <v>1.0101010101010102</v>
      </c>
      <c r="E47" s="111">
        <f t="shared" si="3"/>
        <v>-9800</v>
      </c>
    </row>
    <row r="48" spans="1:5" s="59" customFormat="1" ht="18" customHeight="1">
      <c r="A48" s="109" t="s">
        <v>163</v>
      </c>
      <c r="B48" s="249">
        <v>100</v>
      </c>
      <c r="C48" s="249">
        <v>100</v>
      </c>
      <c r="D48" s="110">
        <f t="shared" si="2"/>
        <v>100</v>
      </c>
      <c r="E48" s="111">
        <f t="shared" si="3"/>
        <v>0</v>
      </c>
    </row>
    <row r="49" spans="1:5" s="59" customFormat="1" ht="30" customHeight="1">
      <c r="A49" s="109" t="s">
        <v>164</v>
      </c>
      <c r="B49" s="249">
        <v>9800</v>
      </c>
      <c r="C49" s="249">
        <v>0</v>
      </c>
      <c r="D49" s="110">
        <f t="shared" si="2"/>
        <v>0</v>
      </c>
      <c r="E49" s="111">
        <f t="shared" si="3"/>
        <v>-9800</v>
      </c>
    </row>
    <row r="50" spans="1:5" s="59" customFormat="1" ht="31.5" customHeight="1">
      <c r="A50" s="16" t="s">
        <v>103</v>
      </c>
      <c r="B50" s="249">
        <v>0</v>
      </c>
      <c r="C50" s="249">
        <v>0</v>
      </c>
      <c r="D50" s="110" t="str">
        <f t="shared" si="2"/>
        <v>   </v>
      </c>
      <c r="E50" s="111">
        <f t="shared" si="3"/>
        <v>0</v>
      </c>
    </row>
    <row r="51" spans="1:5" s="59" customFormat="1" ht="30" customHeight="1">
      <c r="A51" s="16" t="s">
        <v>297</v>
      </c>
      <c r="B51" s="216">
        <v>1200000</v>
      </c>
      <c r="C51" s="216">
        <v>0</v>
      </c>
      <c r="D51" s="110">
        <f t="shared" si="2"/>
        <v>0</v>
      </c>
      <c r="E51" s="111">
        <f t="shared" si="3"/>
        <v>-1200000</v>
      </c>
    </row>
    <row r="52" spans="1:5" s="59" customFormat="1" ht="41.25" customHeight="1">
      <c r="A52" s="16" t="s">
        <v>238</v>
      </c>
      <c r="B52" s="249">
        <v>562200</v>
      </c>
      <c r="C52" s="249">
        <v>562200</v>
      </c>
      <c r="D52" s="110">
        <f t="shared" si="2"/>
        <v>100</v>
      </c>
      <c r="E52" s="111">
        <f t="shared" si="3"/>
        <v>0</v>
      </c>
    </row>
    <row r="53" spans="1:5" s="59" customFormat="1" ht="18" customHeight="1">
      <c r="A53" s="41" t="s">
        <v>54</v>
      </c>
      <c r="B53" s="204">
        <f>B57+B54+B55+B56</f>
        <v>5438500</v>
      </c>
      <c r="C53" s="204">
        <f>C57+C54+C55+C56</f>
        <v>162000</v>
      </c>
      <c r="D53" s="65">
        <f t="shared" si="2"/>
        <v>2.978762526431921</v>
      </c>
      <c r="E53" s="66">
        <f t="shared" si="3"/>
        <v>-5276500</v>
      </c>
    </row>
    <row r="54" spans="1:5" s="59" customFormat="1" ht="18" customHeight="1">
      <c r="A54" s="46" t="s">
        <v>188</v>
      </c>
      <c r="B54" s="204">
        <v>626000</v>
      </c>
      <c r="C54" s="204">
        <v>0</v>
      </c>
      <c r="D54" s="65">
        <f t="shared" si="2"/>
        <v>0</v>
      </c>
      <c r="E54" s="66">
        <f t="shared" si="3"/>
        <v>-626000</v>
      </c>
    </row>
    <row r="55" spans="1:5" s="59" customFormat="1" ht="18" customHeight="1">
      <c r="A55" s="46" t="s">
        <v>287</v>
      </c>
      <c r="B55" s="204">
        <v>328200</v>
      </c>
      <c r="C55" s="204">
        <v>0</v>
      </c>
      <c r="D55" s="65">
        <f>IF(B55=0,"   ",C55/B55*100)</f>
        <v>0</v>
      </c>
      <c r="E55" s="66">
        <f>C55-B55</f>
        <v>-328200</v>
      </c>
    </row>
    <row r="56" spans="1:5" s="59" customFormat="1" ht="18" customHeight="1">
      <c r="A56" s="46" t="s">
        <v>296</v>
      </c>
      <c r="B56" s="204">
        <v>4114500</v>
      </c>
      <c r="C56" s="204">
        <v>0</v>
      </c>
      <c r="D56" s="65">
        <f>IF(B56=0,"   ",C56/B56*100)</f>
        <v>0</v>
      </c>
      <c r="E56" s="66">
        <f>C56-B56</f>
        <v>-4114500</v>
      </c>
    </row>
    <row r="57" spans="1:5" s="59" customFormat="1" ht="20.25" customHeight="1">
      <c r="A57" s="46" t="s">
        <v>109</v>
      </c>
      <c r="B57" s="204">
        <v>369800</v>
      </c>
      <c r="C57" s="204">
        <v>162000</v>
      </c>
      <c r="D57" s="65">
        <f t="shared" si="2"/>
        <v>43.807463493780425</v>
      </c>
      <c r="E57" s="66">
        <f t="shared" si="3"/>
        <v>-207800</v>
      </c>
    </row>
    <row r="58" spans="1:5" s="59" customFormat="1" ht="24.75" customHeight="1">
      <c r="A58" s="16" t="s">
        <v>199</v>
      </c>
      <c r="B58" s="204">
        <v>128106.8</v>
      </c>
      <c r="C58" s="204">
        <v>0</v>
      </c>
      <c r="D58" s="65">
        <f t="shared" si="2"/>
        <v>0</v>
      </c>
      <c r="E58" s="66">
        <f t="shared" si="3"/>
        <v>-128106.8</v>
      </c>
    </row>
    <row r="59" spans="1:5" s="59" customFormat="1" ht="27" customHeight="1">
      <c r="A59" s="30" t="s">
        <v>11</v>
      </c>
      <c r="B59" s="150">
        <f>B42+B43</f>
        <v>10203606.8</v>
      </c>
      <c r="C59" s="43">
        <f>C42+C43</f>
        <v>2356375.4299999997</v>
      </c>
      <c r="D59" s="141">
        <f aca="true" t="shared" si="4" ref="D59:D90">IF(B59=0,"   ",C59/B59*100)</f>
        <v>23.09355384019697</v>
      </c>
      <c r="E59" s="142">
        <f aca="true" t="shared" si="5" ref="E59:E90">C59-B59</f>
        <v>-7847231.370000001</v>
      </c>
    </row>
    <row r="60" spans="1:5" s="8" customFormat="1" ht="13.5" thickBot="1">
      <c r="A60" s="106" t="s">
        <v>12</v>
      </c>
      <c r="B60" s="107"/>
      <c r="C60" s="108"/>
      <c r="D60" s="90"/>
      <c r="E60" s="91"/>
    </row>
    <row r="61" spans="1:5" s="59" customFormat="1" ht="18.75" customHeight="1" thickBot="1">
      <c r="A61" s="98" t="s">
        <v>35</v>
      </c>
      <c r="B61" s="99">
        <f>SUM(B62,B65:B66)</f>
        <v>1235684.55</v>
      </c>
      <c r="C61" s="99">
        <f>SUM(C62,C65:C66)</f>
        <v>733344.41</v>
      </c>
      <c r="D61" s="93">
        <f t="shared" si="4"/>
        <v>59.34721851139112</v>
      </c>
      <c r="E61" s="94">
        <f t="shared" si="5"/>
        <v>-502340.14</v>
      </c>
    </row>
    <row r="62" spans="1:5" s="59" customFormat="1" ht="17.25" customHeight="1" thickBot="1">
      <c r="A62" s="96" t="s">
        <v>36</v>
      </c>
      <c r="B62" s="97">
        <v>1146700</v>
      </c>
      <c r="C62" s="99">
        <v>674859.86</v>
      </c>
      <c r="D62" s="78">
        <f t="shared" si="4"/>
        <v>58.85234673410656</v>
      </c>
      <c r="E62" s="79">
        <f t="shared" si="5"/>
        <v>-471840.14</v>
      </c>
    </row>
    <row r="63" spans="1:5" s="59" customFormat="1" ht="18" customHeight="1">
      <c r="A63" s="41" t="s">
        <v>120</v>
      </c>
      <c r="B63" s="31">
        <v>766974</v>
      </c>
      <c r="C63" s="70">
        <v>465725.44</v>
      </c>
      <c r="D63" s="65">
        <f t="shared" si="4"/>
        <v>60.7224547377095</v>
      </c>
      <c r="E63" s="66">
        <f t="shared" si="5"/>
        <v>-301248.56</v>
      </c>
    </row>
    <row r="64" spans="1:5" s="59" customFormat="1" ht="18" customHeight="1">
      <c r="A64" s="41" t="s">
        <v>288</v>
      </c>
      <c r="B64" s="31">
        <v>100</v>
      </c>
      <c r="C64" s="70">
        <v>100</v>
      </c>
      <c r="D64" s="65">
        <f>IF(B64=0,"   ",C64/B64*100)</f>
        <v>100</v>
      </c>
      <c r="E64" s="66">
        <f>C64-B64</f>
        <v>0</v>
      </c>
    </row>
    <row r="65" spans="1:5" s="59" customFormat="1" ht="15.75" customHeight="1">
      <c r="A65" s="41" t="s">
        <v>95</v>
      </c>
      <c r="B65" s="31">
        <v>500</v>
      </c>
      <c r="C65" s="70">
        <v>0</v>
      </c>
      <c r="D65" s="65">
        <f t="shared" si="4"/>
        <v>0</v>
      </c>
      <c r="E65" s="66">
        <f t="shared" si="5"/>
        <v>-500</v>
      </c>
    </row>
    <row r="66" spans="1:5" s="59" customFormat="1" ht="12.75">
      <c r="A66" s="41" t="s">
        <v>52</v>
      </c>
      <c r="B66" s="31">
        <f>SUM(B67:B68)</f>
        <v>88484.55</v>
      </c>
      <c r="C66" s="31">
        <f>SUM(C67:C68)</f>
        <v>58484.55</v>
      </c>
      <c r="D66" s="65">
        <f t="shared" si="4"/>
        <v>66.09577604225822</v>
      </c>
      <c r="E66" s="66">
        <f t="shared" si="5"/>
        <v>-30000</v>
      </c>
    </row>
    <row r="67" spans="1:5" s="59" customFormat="1" ht="28.5" customHeight="1">
      <c r="A67" s="105" t="s">
        <v>248</v>
      </c>
      <c r="B67" s="31">
        <v>30000</v>
      </c>
      <c r="C67" s="68">
        <v>0</v>
      </c>
      <c r="D67" s="65">
        <f t="shared" si="4"/>
        <v>0</v>
      </c>
      <c r="E67" s="68">
        <f t="shared" si="5"/>
        <v>-30000</v>
      </c>
    </row>
    <row r="68" spans="1:5" s="59" customFormat="1" ht="17.25" customHeight="1" thickBot="1">
      <c r="A68" s="195" t="s">
        <v>222</v>
      </c>
      <c r="B68" s="31">
        <v>58484.55</v>
      </c>
      <c r="C68" s="68">
        <v>58484.55</v>
      </c>
      <c r="D68" s="65">
        <f t="shared" si="4"/>
        <v>100</v>
      </c>
      <c r="E68" s="68">
        <f t="shared" si="5"/>
        <v>0</v>
      </c>
    </row>
    <row r="69" spans="1:5" s="59" customFormat="1" ht="13.5" thickBot="1">
      <c r="A69" s="98" t="s">
        <v>49</v>
      </c>
      <c r="B69" s="196">
        <f>SUM(B70)</f>
        <v>90400</v>
      </c>
      <c r="C69" s="196">
        <f>SUM(C70)</f>
        <v>59213.62</v>
      </c>
      <c r="D69" s="197">
        <f t="shared" si="4"/>
        <v>65.50179203539824</v>
      </c>
      <c r="E69" s="198">
        <f t="shared" si="5"/>
        <v>-31186.379999999997</v>
      </c>
    </row>
    <row r="70" spans="1:5" s="59" customFormat="1" ht="20.25" customHeight="1" thickBot="1">
      <c r="A70" s="75" t="s">
        <v>107</v>
      </c>
      <c r="B70" s="100">
        <v>90400</v>
      </c>
      <c r="C70" s="77">
        <v>59213.62</v>
      </c>
      <c r="D70" s="102">
        <f t="shared" si="4"/>
        <v>65.50179203539824</v>
      </c>
      <c r="E70" s="103">
        <f t="shared" si="5"/>
        <v>-31186.379999999997</v>
      </c>
    </row>
    <row r="71" spans="1:5" s="59" customFormat="1" ht="13.5" thickBot="1">
      <c r="A71" s="98" t="s">
        <v>37</v>
      </c>
      <c r="B71" s="99">
        <f>SUM(B72)</f>
        <v>80400</v>
      </c>
      <c r="C71" s="99">
        <f>SUM(C72)</f>
        <v>400</v>
      </c>
      <c r="D71" s="93">
        <f t="shared" si="4"/>
        <v>0.4975124378109453</v>
      </c>
      <c r="E71" s="94">
        <f t="shared" si="5"/>
        <v>-80000</v>
      </c>
    </row>
    <row r="72" spans="1:5" s="59" customFormat="1" ht="13.5" thickBot="1">
      <c r="A72" s="75" t="s">
        <v>128</v>
      </c>
      <c r="B72" s="100">
        <v>80400</v>
      </c>
      <c r="C72" s="77">
        <v>400</v>
      </c>
      <c r="D72" s="102">
        <f t="shared" si="4"/>
        <v>0.4975124378109453</v>
      </c>
      <c r="E72" s="103">
        <f t="shared" si="5"/>
        <v>-80000</v>
      </c>
    </row>
    <row r="73" spans="1:5" s="59" customFormat="1" ht="13.5" thickBot="1">
      <c r="A73" s="98" t="s">
        <v>38</v>
      </c>
      <c r="B73" s="99">
        <f>B74+B79+B91+B77</f>
        <v>2188999.7</v>
      </c>
      <c r="C73" s="99">
        <f>C74+C79+C91+C77</f>
        <v>866725.62</v>
      </c>
      <c r="D73" s="93">
        <f t="shared" si="4"/>
        <v>39.59459747756018</v>
      </c>
      <c r="E73" s="94">
        <f t="shared" si="5"/>
        <v>-1322274.08</v>
      </c>
    </row>
    <row r="74" spans="1:5" s="59" customFormat="1" ht="19.5" customHeight="1" thickBot="1">
      <c r="A74" s="75" t="s">
        <v>165</v>
      </c>
      <c r="B74" s="99">
        <f>SUM(B75+B76)</f>
        <v>9800</v>
      </c>
      <c r="C74" s="99">
        <f>SUM(C75+C76)</f>
        <v>0</v>
      </c>
      <c r="D74" s="93">
        <f>IF(B74=0,"   ",C74/B74*100)</f>
        <v>0</v>
      </c>
      <c r="E74" s="94">
        <f>C74-B74</f>
        <v>-9800</v>
      </c>
    </row>
    <row r="75" spans="1:5" s="59" customFormat="1" ht="17.25" customHeight="1" thickBot="1">
      <c r="A75" s="148" t="s">
        <v>166</v>
      </c>
      <c r="B75" s="253">
        <v>9800</v>
      </c>
      <c r="C75" s="99">
        <v>0</v>
      </c>
      <c r="D75" s="93">
        <f>IF(B75=0,"   ",C75/B75*100)</f>
        <v>0</v>
      </c>
      <c r="E75" s="94">
        <f>C75-B75</f>
        <v>-9800</v>
      </c>
    </row>
    <row r="76" spans="1:5" s="59" customFormat="1" ht="17.25" customHeight="1" thickBot="1">
      <c r="A76" s="148" t="s">
        <v>189</v>
      </c>
      <c r="B76" s="100">
        <v>0</v>
      </c>
      <c r="C76" s="99">
        <v>0</v>
      </c>
      <c r="D76" s="93"/>
      <c r="E76" s="94"/>
    </row>
    <row r="77" spans="1:5" s="59" customFormat="1" ht="17.25" customHeight="1" thickBot="1">
      <c r="A77" s="75" t="s">
        <v>231</v>
      </c>
      <c r="B77" s="99">
        <f>SUM(B78)</f>
        <v>62025.62</v>
      </c>
      <c r="C77" s="99">
        <f>SUM(C78)</f>
        <v>62025.62</v>
      </c>
      <c r="D77" s="78">
        <f>IF(B77=0,"   ",C77/B77*100)</f>
        <v>100</v>
      </c>
      <c r="E77" s="79">
        <f>C77-B77</f>
        <v>0</v>
      </c>
    </row>
    <row r="78" spans="1:5" s="59" customFormat="1" ht="17.25" customHeight="1">
      <c r="A78" s="75" t="s">
        <v>232</v>
      </c>
      <c r="B78" s="100">
        <v>62025.62</v>
      </c>
      <c r="C78" s="100">
        <v>62025.62</v>
      </c>
      <c r="D78" s="78">
        <f>IF(B78=0,"   ",C78/B78*100)</f>
        <v>100</v>
      </c>
      <c r="E78" s="79">
        <f>C78-B78</f>
        <v>0</v>
      </c>
    </row>
    <row r="79" spans="1:5" s="59" customFormat="1" ht="18.75" customHeight="1">
      <c r="A79" s="148" t="s">
        <v>131</v>
      </c>
      <c r="B79" s="97">
        <f>SUM(B80:B81,B85:B90)</f>
        <v>2036074.08</v>
      </c>
      <c r="C79" s="97">
        <f>SUM(C80:C81,C85:C90)</f>
        <v>804700</v>
      </c>
      <c r="D79" s="78">
        <f t="shared" si="4"/>
        <v>39.52213762281184</v>
      </c>
      <c r="E79" s="79">
        <f t="shared" si="5"/>
        <v>-1231374.08</v>
      </c>
    </row>
    <row r="80" spans="1:5" s="59" customFormat="1" ht="19.5" customHeight="1">
      <c r="A80" s="75" t="s">
        <v>149</v>
      </c>
      <c r="B80" s="31">
        <v>0</v>
      </c>
      <c r="C80" s="31"/>
      <c r="D80" s="78" t="str">
        <f t="shared" si="4"/>
        <v>   </v>
      </c>
      <c r="E80" s="68">
        <f t="shared" si="5"/>
        <v>0</v>
      </c>
    </row>
    <row r="81" spans="1:5" s="59" customFormat="1" ht="19.5" customHeight="1">
      <c r="A81" s="105" t="s">
        <v>206</v>
      </c>
      <c r="B81" s="31">
        <f>SUM(B82:B84)</f>
        <v>547011.86</v>
      </c>
      <c r="C81" s="31">
        <f>SUM(C82:C84)</f>
        <v>0</v>
      </c>
      <c r="D81" s="78">
        <f>IF(B81=0,"   ",C81/B81*100)</f>
        <v>0</v>
      </c>
      <c r="E81" s="68">
        <f>C81-B81</f>
        <v>-547011.86</v>
      </c>
    </row>
    <row r="82" spans="1:5" s="59" customFormat="1" ht="29.25" customHeight="1">
      <c r="A82" s="105" t="s">
        <v>216</v>
      </c>
      <c r="B82" s="31">
        <v>328200</v>
      </c>
      <c r="C82" s="31">
        <v>0</v>
      </c>
      <c r="D82" s="78">
        <f>IF(B82=0,"   ",C82/B82*100)</f>
        <v>0</v>
      </c>
      <c r="E82" s="68">
        <f>C82-B82</f>
        <v>-328200</v>
      </c>
    </row>
    <row r="83" spans="1:5" s="59" customFormat="1" ht="27" customHeight="1">
      <c r="A83" s="105" t="s">
        <v>207</v>
      </c>
      <c r="B83" s="31">
        <v>109811.86</v>
      </c>
      <c r="C83" s="31">
        <v>0</v>
      </c>
      <c r="D83" s="78">
        <f>IF(B83=0,"   ",C83/B83*100)</f>
        <v>0</v>
      </c>
      <c r="E83" s="68">
        <f>C83-B83</f>
        <v>-109811.86</v>
      </c>
    </row>
    <row r="84" spans="1:5" s="59" customFormat="1" ht="26.25" customHeight="1">
      <c r="A84" s="105" t="s">
        <v>217</v>
      </c>
      <c r="B84" s="31">
        <v>109000</v>
      </c>
      <c r="C84" s="31">
        <v>0</v>
      </c>
      <c r="D84" s="78">
        <f>IF(B84=0,"   ",C84/B84*100)</f>
        <v>0</v>
      </c>
      <c r="E84" s="68">
        <f>C84-B84</f>
        <v>-109000</v>
      </c>
    </row>
    <row r="85" spans="1:5" s="59" customFormat="1" ht="33.75" customHeight="1">
      <c r="A85" s="71" t="s">
        <v>257</v>
      </c>
      <c r="B85" s="31">
        <v>400400</v>
      </c>
      <c r="C85" s="31">
        <v>0</v>
      </c>
      <c r="D85" s="78">
        <f t="shared" si="4"/>
        <v>0</v>
      </c>
      <c r="E85" s="104">
        <f t="shared" si="5"/>
        <v>-400400</v>
      </c>
    </row>
    <row r="86" spans="1:5" s="59" customFormat="1" ht="27" customHeight="1">
      <c r="A86" s="71" t="s">
        <v>258</v>
      </c>
      <c r="B86" s="31">
        <v>53062.22</v>
      </c>
      <c r="C86" s="31">
        <v>0</v>
      </c>
      <c r="D86" s="78">
        <f t="shared" si="4"/>
        <v>0</v>
      </c>
      <c r="E86" s="104">
        <f t="shared" si="5"/>
        <v>-53062.22</v>
      </c>
    </row>
    <row r="87" spans="1:5" s="59" customFormat="1" ht="27" customHeight="1">
      <c r="A87" s="71" t="s">
        <v>259</v>
      </c>
      <c r="B87" s="31">
        <v>562200</v>
      </c>
      <c r="C87" s="31">
        <v>562200</v>
      </c>
      <c r="D87" s="78">
        <f t="shared" si="4"/>
        <v>100</v>
      </c>
      <c r="E87" s="104">
        <f t="shared" si="5"/>
        <v>0</v>
      </c>
    </row>
    <row r="88" spans="1:5" s="59" customFormat="1" ht="27" customHeight="1">
      <c r="A88" s="71" t="s">
        <v>260</v>
      </c>
      <c r="B88" s="31">
        <v>62500</v>
      </c>
      <c r="C88" s="31">
        <v>62500</v>
      </c>
      <c r="D88" s="78">
        <f t="shared" si="4"/>
        <v>100</v>
      </c>
      <c r="E88" s="104">
        <f t="shared" si="5"/>
        <v>0</v>
      </c>
    </row>
    <row r="89" spans="1:5" s="59" customFormat="1" ht="27" customHeight="1">
      <c r="A89" s="71" t="s">
        <v>261</v>
      </c>
      <c r="B89" s="31">
        <v>369800</v>
      </c>
      <c r="C89" s="31">
        <v>162000</v>
      </c>
      <c r="D89" s="78">
        <f t="shared" si="4"/>
        <v>43.807463493780425</v>
      </c>
      <c r="E89" s="104">
        <f t="shared" si="5"/>
        <v>-207800</v>
      </c>
    </row>
    <row r="90" spans="1:5" s="59" customFormat="1" ht="26.25">
      <c r="A90" s="71" t="s">
        <v>262</v>
      </c>
      <c r="B90" s="31">
        <v>41100</v>
      </c>
      <c r="C90" s="31">
        <v>18000</v>
      </c>
      <c r="D90" s="65">
        <f t="shared" si="4"/>
        <v>43.79562043795621</v>
      </c>
      <c r="E90" s="68">
        <f t="shared" si="5"/>
        <v>-23100</v>
      </c>
    </row>
    <row r="91" spans="1:5" s="59" customFormat="1" ht="12.75">
      <c r="A91" s="96" t="s">
        <v>177</v>
      </c>
      <c r="B91" s="31">
        <f>SUM(B92+B93)</f>
        <v>81100</v>
      </c>
      <c r="C91" s="31">
        <f>SUM(C92+C93)</f>
        <v>0</v>
      </c>
      <c r="D91" s="65">
        <f>IF(B91=0,"   ",C91/B91*100)</f>
        <v>0</v>
      </c>
      <c r="E91" s="68">
        <f>C91-B91</f>
        <v>-81100</v>
      </c>
    </row>
    <row r="92" spans="1:5" s="59" customFormat="1" ht="26.25">
      <c r="A92" s="105" t="s">
        <v>155</v>
      </c>
      <c r="B92" s="31">
        <v>34100</v>
      </c>
      <c r="C92" s="31">
        <v>0</v>
      </c>
      <c r="D92" s="65">
        <f>IF(B92=0,"   ",C92/B92*100)</f>
        <v>0</v>
      </c>
      <c r="E92" s="68">
        <f>C92-B92</f>
        <v>-34100</v>
      </c>
    </row>
    <row r="93" spans="1:5" s="59" customFormat="1" ht="27" thickBot="1">
      <c r="A93" s="75" t="s">
        <v>178</v>
      </c>
      <c r="B93" s="31">
        <v>47000</v>
      </c>
      <c r="C93" s="31">
        <v>0</v>
      </c>
      <c r="D93" s="65">
        <f>IF(B93=0,"   ",C93/B93*100)</f>
        <v>0</v>
      </c>
      <c r="E93" s="68">
        <f>C93-B93</f>
        <v>-47000</v>
      </c>
    </row>
    <row r="94" spans="1:5" s="59" customFormat="1" ht="13.5" thickBot="1">
      <c r="A94" s="98" t="s">
        <v>13</v>
      </c>
      <c r="B94" s="31">
        <f>B106+B97+B99</f>
        <v>6213387.98</v>
      </c>
      <c r="C94" s="31">
        <f>C106+C97+C99</f>
        <v>130005.3</v>
      </c>
      <c r="D94" s="65">
        <f>IF(B94=0,"   ",C94/B94*100)</f>
        <v>2.092341576261909</v>
      </c>
      <c r="E94" s="68">
        <f>C94-B94</f>
        <v>-6083382.680000001</v>
      </c>
    </row>
    <row r="95" spans="1:5" s="59" customFormat="1" ht="12.75" customHeight="1" hidden="1">
      <c r="A95" s="96" t="s">
        <v>40</v>
      </c>
      <c r="B95" s="97" t="e">
        <f>SUM(#REF!,B106,#REF!)</f>
        <v>#REF!</v>
      </c>
      <c r="C95" s="97" t="e">
        <f>SUM(#REF!,C106,#REF!)</f>
        <v>#REF!</v>
      </c>
      <c r="D95" s="78" t="e">
        <f>IF(#REF!=0,"   ",C95/#REF!)</f>
        <v>#REF!</v>
      </c>
      <c r="E95" s="79" t="e">
        <f>C95-#REF!</f>
        <v>#REF!</v>
      </c>
    </row>
    <row r="96" spans="1:5" s="59" customFormat="1" ht="12.75" customHeight="1" hidden="1">
      <c r="A96" s="41" t="s">
        <v>18</v>
      </c>
      <c r="B96" s="31">
        <v>851563</v>
      </c>
      <c r="C96" s="68">
        <v>851563</v>
      </c>
      <c r="D96" s="65" t="e">
        <f>IF(#REF!=0,"   ",C96/#REF!)</f>
        <v>#REF!</v>
      </c>
      <c r="E96" s="66" t="e">
        <f>C96-#REF!</f>
        <v>#REF!</v>
      </c>
    </row>
    <row r="97" spans="1:5" s="59" customFormat="1" ht="12.75" customHeight="1">
      <c r="A97" s="41" t="s">
        <v>156</v>
      </c>
      <c r="B97" s="31">
        <f>SUM(B98)</f>
        <v>0</v>
      </c>
      <c r="C97" s="31">
        <f>SUM(C98)</f>
        <v>0</v>
      </c>
      <c r="D97" s="65" t="str">
        <f aca="true" t="shared" si="6" ref="D97:D103">IF(B97=0,"   ",C97/B97*100)</f>
        <v>   </v>
      </c>
      <c r="E97" s="68">
        <f aca="true" t="shared" si="7" ref="E97:E105">C97-B97</f>
        <v>0</v>
      </c>
    </row>
    <row r="98" spans="1:5" s="59" customFormat="1" ht="12.75" customHeight="1">
      <c r="A98" s="41" t="s">
        <v>157</v>
      </c>
      <c r="B98" s="31">
        <v>0</v>
      </c>
      <c r="C98" s="31">
        <v>0</v>
      </c>
      <c r="D98" s="65" t="str">
        <f t="shared" si="6"/>
        <v>   </v>
      </c>
      <c r="E98" s="68">
        <f t="shared" si="7"/>
        <v>0</v>
      </c>
    </row>
    <row r="99" spans="1:5" s="59" customFormat="1" ht="12.75" customHeight="1">
      <c r="A99" s="41" t="s">
        <v>150</v>
      </c>
      <c r="B99" s="31">
        <f>SUM(B100+B101)</f>
        <v>4683200</v>
      </c>
      <c r="C99" s="31">
        <f>SUM(C100+C101)</f>
        <v>0</v>
      </c>
      <c r="D99" s="65">
        <f t="shared" si="6"/>
        <v>0</v>
      </c>
      <c r="E99" s="68">
        <f t="shared" si="7"/>
        <v>-4683200</v>
      </c>
    </row>
    <row r="100" spans="1:5" s="59" customFormat="1" ht="12.75" customHeight="1">
      <c r="A100" s="16" t="s">
        <v>301</v>
      </c>
      <c r="B100" s="31">
        <v>4114500</v>
      </c>
      <c r="C100" s="31">
        <v>0</v>
      </c>
      <c r="D100" s="65">
        <f t="shared" si="6"/>
        <v>0</v>
      </c>
      <c r="E100" s="68">
        <f t="shared" si="7"/>
        <v>-4114500</v>
      </c>
    </row>
    <row r="101" spans="1:5" s="59" customFormat="1" ht="18.75" customHeight="1">
      <c r="A101" s="105" t="s">
        <v>206</v>
      </c>
      <c r="B101" s="118">
        <f>SUM(B102+B103+B104)</f>
        <v>568700</v>
      </c>
      <c r="C101" s="118">
        <f>SUM(C102+C103+C104)</f>
        <v>0</v>
      </c>
      <c r="D101" s="65">
        <f t="shared" si="6"/>
        <v>0</v>
      </c>
      <c r="E101" s="68">
        <f t="shared" si="7"/>
        <v>-568700</v>
      </c>
    </row>
    <row r="102" spans="1:5" s="59" customFormat="1" ht="22.5" customHeight="1">
      <c r="A102" s="105" t="s">
        <v>187</v>
      </c>
      <c r="B102" s="31">
        <v>568700</v>
      </c>
      <c r="C102" s="31">
        <v>0</v>
      </c>
      <c r="D102" s="65">
        <f t="shared" si="6"/>
        <v>0</v>
      </c>
      <c r="E102" s="68">
        <f t="shared" si="7"/>
        <v>-568700</v>
      </c>
    </row>
    <row r="103" spans="1:5" s="59" customFormat="1" ht="27" customHeight="1">
      <c r="A103" s="105" t="s">
        <v>207</v>
      </c>
      <c r="B103" s="31">
        <v>0</v>
      </c>
      <c r="C103" s="31">
        <v>0</v>
      </c>
      <c r="D103" s="65" t="str">
        <f t="shared" si="6"/>
        <v>   </v>
      </c>
      <c r="E103" s="68">
        <f t="shared" si="7"/>
        <v>0</v>
      </c>
    </row>
    <row r="104" spans="1:5" s="59" customFormat="1" ht="28.5" customHeight="1">
      <c r="A104" s="105" t="s">
        <v>217</v>
      </c>
      <c r="B104" s="31">
        <v>0</v>
      </c>
      <c r="C104" s="31">
        <v>0</v>
      </c>
      <c r="D104" s="65" t="str">
        <f>IF(B104=0,"   ",C104/B104*100)</f>
        <v>   </v>
      </c>
      <c r="E104" s="68">
        <f t="shared" si="7"/>
        <v>0</v>
      </c>
    </row>
    <row r="105" spans="1:5" s="59" customFormat="1" ht="12.75" customHeight="1">
      <c r="A105" s="16" t="s">
        <v>197</v>
      </c>
      <c r="B105" s="31">
        <v>0</v>
      </c>
      <c r="C105" s="31">
        <v>0</v>
      </c>
      <c r="D105" s="65" t="str">
        <f>IF(B105=0,"   ",C105/B105*100)</f>
        <v>   </v>
      </c>
      <c r="E105" s="193">
        <f t="shared" si="7"/>
        <v>0</v>
      </c>
    </row>
    <row r="106" spans="1:5" s="59" customFormat="1" ht="12.75">
      <c r="A106" s="41" t="s">
        <v>58</v>
      </c>
      <c r="B106" s="31">
        <f>SUM(B107:B111)</f>
        <v>1530187.98</v>
      </c>
      <c r="C106" s="31">
        <f>SUM(C107:C111)</f>
        <v>130005.3</v>
      </c>
      <c r="D106" s="65">
        <f aca="true" t="shared" si="8" ref="D106:D119">IF(B106=0,"   ",C106/B106*100)</f>
        <v>8.49603458524096</v>
      </c>
      <c r="E106" s="66">
        <f aca="true" t="shared" si="9" ref="E106:E119">C106-B106</f>
        <v>-1400182.68</v>
      </c>
    </row>
    <row r="107" spans="1:5" s="59" customFormat="1" ht="15" customHeight="1">
      <c r="A107" s="41" t="s">
        <v>56</v>
      </c>
      <c r="B107" s="31">
        <v>196700</v>
      </c>
      <c r="C107" s="68">
        <v>130005.3</v>
      </c>
      <c r="D107" s="65">
        <f t="shared" si="8"/>
        <v>66.09318759532283</v>
      </c>
      <c r="E107" s="66">
        <f t="shared" si="9"/>
        <v>-66694.7</v>
      </c>
    </row>
    <row r="108" spans="1:5" s="59" customFormat="1" ht="32.25" customHeight="1">
      <c r="A108" s="105" t="s">
        <v>167</v>
      </c>
      <c r="B108" s="89">
        <v>0</v>
      </c>
      <c r="C108" s="73">
        <v>0</v>
      </c>
      <c r="D108" s="90" t="str">
        <f t="shared" si="8"/>
        <v>   </v>
      </c>
      <c r="E108" s="91">
        <f t="shared" si="9"/>
        <v>0</v>
      </c>
    </row>
    <row r="109" spans="1:5" s="59" customFormat="1" ht="17.25" customHeight="1">
      <c r="A109" s="71" t="s">
        <v>57</v>
      </c>
      <c r="B109" s="31">
        <v>37974.38</v>
      </c>
      <c r="C109" s="70">
        <v>0</v>
      </c>
      <c r="D109" s="90">
        <f t="shared" si="8"/>
        <v>0</v>
      </c>
      <c r="E109" s="91">
        <f t="shared" si="9"/>
        <v>-37974.38</v>
      </c>
    </row>
    <row r="110" spans="1:5" s="59" customFormat="1" ht="17.25" customHeight="1">
      <c r="A110" s="105" t="s">
        <v>302</v>
      </c>
      <c r="B110" s="31">
        <v>1200000</v>
      </c>
      <c r="C110" s="70">
        <v>0</v>
      </c>
      <c r="D110" s="90">
        <f t="shared" si="8"/>
        <v>0</v>
      </c>
      <c r="E110" s="306">
        <f t="shared" si="9"/>
        <v>-1200000</v>
      </c>
    </row>
    <row r="111" spans="1:5" s="59" customFormat="1" ht="17.25" customHeight="1">
      <c r="A111" s="105" t="s">
        <v>206</v>
      </c>
      <c r="B111" s="25">
        <f>SUM(B112+B113+B114)</f>
        <v>95513.6</v>
      </c>
      <c r="C111" s="25">
        <f>SUM(C112+C113+C114)</f>
        <v>0</v>
      </c>
      <c r="D111" s="65">
        <f t="shared" si="8"/>
        <v>0</v>
      </c>
      <c r="E111" s="68">
        <f t="shared" si="9"/>
        <v>-95513.6</v>
      </c>
    </row>
    <row r="112" spans="1:5" s="59" customFormat="1" ht="15.75" customHeight="1">
      <c r="A112" s="105" t="s">
        <v>187</v>
      </c>
      <c r="B112" s="31">
        <v>57300</v>
      </c>
      <c r="C112" s="70">
        <v>0</v>
      </c>
      <c r="D112" s="65">
        <f t="shared" si="8"/>
        <v>0</v>
      </c>
      <c r="E112" s="68">
        <f t="shared" si="9"/>
        <v>-57300</v>
      </c>
    </row>
    <row r="113" spans="1:5" s="59" customFormat="1" ht="27.75" customHeight="1">
      <c r="A113" s="105" t="s">
        <v>207</v>
      </c>
      <c r="B113" s="31">
        <v>19106.8</v>
      </c>
      <c r="C113" s="70">
        <v>0</v>
      </c>
      <c r="D113" s="65">
        <f>IF(B113=0,"   ",C113/B113*100)</f>
        <v>0</v>
      </c>
      <c r="E113" s="68">
        <f>C113-B113</f>
        <v>-19106.8</v>
      </c>
    </row>
    <row r="114" spans="1:5" s="59" customFormat="1" ht="27" customHeight="1" thickBot="1">
      <c r="A114" s="105" t="s">
        <v>217</v>
      </c>
      <c r="B114" s="31">
        <v>19106.8</v>
      </c>
      <c r="C114" s="70">
        <v>0</v>
      </c>
      <c r="D114" s="65">
        <f t="shared" si="8"/>
        <v>0</v>
      </c>
      <c r="E114" s="68">
        <f t="shared" si="9"/>
        <v>-19106.8</v>
      </c>
    </row>
    <row r="115" spans="1:5" s="59" customFormat="1" ht="15" customHeight="1" thickBot="1">
      <c r="A115" s="98" t="s">
        <v>17</v>
      </c>
      <c r="B115" s="196">
        <v>8000</v>
      </c>
      <c r="C115" s="196">
        <v>0</v>
      </c>
      <c r="D115" s="197">
        <f t="shared" si="8"/>
        <v>0</v>
      </c>
      <c r="E115" s="198">
        <f t="shared" si="9"/>
        <v>-8000</v>
      </c>
    </row>
    <row r="116" spans="1:5" s="59" customFormat="1" ht="13.5" thickBot="1">
      <c r="A116" s="98" t="s">
        <v>41</v>
      </c>
      <c r="B116" s="182">
        <f>SUM(B117)</f>
        <v>519000</v>
      </c>
      <c r="C116" s="99">
        <f>SUM(C117)</f>
        <v>390244.39</v>
      </c>
      <c r="D116" s="93">
        <f t="shared" si="8"/>
        <v>75.19159730250482</v>
      </c>
      <c r="E116" s="94">
        <f t="shared" si="9"/>
        <v>-128755.60999999999</v>
      </c>
    </row>
    <row r="117" spans="1:5" s="59" customFormat="1" ht="13.5" thickBot="1">
      <c r="A117" s="96" t="s">
        <v>42</v>
      </c>
      <c r="B117" s="97">
        <v>519000</v>
      </c>
      <c r="C117" s="104">
        <v>390244.39</v>
      </c>
      <c r="D117" s="78">
        <f t="shared" si="8"/>
        <v>75.19159730250482</v>
      </c>
      <c r="E117" s="79">
        <f t="shared" si="9"/>
        <v>-128755.60999999999</v>
      </c>
    </row>
    <row r="118" spans="1:5" s="59" customFormat="1" ht="19.5" customHeight="1" thickBot="1">
      <c r="A118" s="98" t="s">
        <v>124</v>
      </c>
      <c r="B118" s="182">
        <f>SUM(B119)</f>
        <v>15000</v>
      </c>
      <c r="C118" s="182">
        <f>SUM(C119)</f>
        <v>0</v>
      </c>
      <c r="D118" s="93">
        <f t="shared" si="8"/>
        <v>0</v>
      </c>
      <c r="E118" s="94">
        <f t="shared" si="9"/>
        <v>-15000</v>
      </c>
    </row>
    <row r="119" spans="1:5" s="59" customFormat="1" ht="16.5" customHeight="1">
      <c r="A119" s="75" t="s">
        <v>43</v>
      </c>
      <c r="B119" s="100">
        <v>15000</v>
      </c>
      <c r="C119" s="101">
        <v>0</v>
      </c>
      <c r="D119" s="102">
        <f t="shared" si="8"/>
        <v>0</v>
      </c>
      <c r="E119" s="103">
        <f t="shared" si="9"/>
        <v>-15000</v>
      </c>
    </row>
    <row r="120" spans="1:5" s="59" customFormat="1" ht="16.5" customHeight="1">
      <c r="A120" s="30" t="s">
        <v>15</v>
      </c>
      <c r="B120" s="150">
        <f>SUM(B61,B69,B71,B73,B94,B115,B116,B118,)</f>
        <v>10350872.23</v>
      </c>
      <c r="C120" s="150">
        <f>SUM(C61,C69,C71,C73,C94,C115,C116,C118,)</f>
        <v>2179933.34</v>
      </c>
      <c r="D120" s="141">
        <f>IF(B120=0,"   ",C120/B120*100)</f>
        <v>21.060383043680943</v>
      </c>
      <c r="E120" s="142">
        <f>C120-B120</f>
        <v>-8170938.890000001</v>
      </c>
    </row>
    <row r="121" spans="1:5" s="59" customFormat="1" ht="12.75" customHeight="1" hidden="1">
      <c r="A121" s="75" t="s">
        <v>21</v>
      </c>
      <c r="B121" s="76"/>
      <c r="C121" s="77"/>
      <c r="D121" s="78" t="e">
        <f>IF(#REF!=0,"   ",C121/#REF!)</f>
        <v>#REF!</v>
      </c>
      <c r="E121" s="79" t="e">
        <f>C121-#REF!</f>
        <v>#REF!</v>
      </c>
    </row>
    <row r="122" spans="1:5" s="59" customFormat="1" ht="12.75" customHeight="1" hidden="1">
      <c r="A122" s="71" t="s">
        <v>22</v>
      </c>
      <c r="B122" s="72">
        <v>1122919</v>
      </c>
      <c r="C122" s="73">
        <v>815256</v>
      </c>
      <c r="D122" s="65" t="e">
        <f>IF(#REF!=0,"   ",C122/#REF!)</f>
        <v>#REF!</v>
      </c>
      <c r="E122" s="66" t="e">
        <f>C122-#REF!</f>
        <v>#REF!</v>
      </c>
    </row>
    <row r="123" spans="1:5" s="59" customFormat="1" ht="13.5" customHeight="1" hidden="1" thickBot="1">
      <c r="A123" s="71" t="s">
        <v>23</v>
      </c>
      <c r="B123" s="72">
        <v>1700000</v>
      </c>
      <c r="C123" s="95">
        <v>1700000</v>
      </c>
      <c r="D123" s="90" t="e">
        <f>IF(#REF!=0,"   ",C123/#REF!)</f>
        <v>#REF!</v>
      </c>
      <c r="E123" s="91" t="e">
        <f>C123-#REF!</f>
        <v>#REF!</v>
      </c>
    </row>
    <row r="124" spans="1:5" s="59" customFormat="1" ht="33" customHeight="1">
      <c r="A124" s="80" t="s">
        <v>304</v>
      </c>
      <c r="B124" s="80"/>
      <c r="C124" s="307"/>
      <c r="D124" s="307"/>
      <c r="E124" s="307"/>
    </row>
    <row r="125" spans="1:5" s="59" customFormat="1" ht="25.5" customHeight="1">
      <c r="A125" s="80" t="s">
        <v>154</v>
      </c>
      <c r="B125" s="80"/>
      <c r="C125" s="81" t="s">
        <v>247</v>
      </c>
      <c r="D125" s="82"/>
      <c r="E125" s="83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</sheetData>
  <sheetProtection/>
  <mergeCells count="2">
    <mergeCell ref="C124:E124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09" t="s">
        <v>318</v>
      </c>
      <c r="B1" s="309"/>
      <c r="C1" s="309"/>
      <c r="D1" s="309"/>
      <c r="E1" s="30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312</v>
      </c>
      <c r="D4" s="19" t="s">
        <v>254</v>
      </c>
      <c r="E4" s="36" t="s">
        <v>253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9">
        <f>SUM(B8)</f>
        <v>27900</v>
      </c>
      <c r="C7" s="149">
        <f>SUM(C8)</f>
        <v>6247.92</v>
      </c>
      <c r="D7" s="26">
        <f aca="true" t="shared" si="0" ref="D7:D91">IF(B7=0,"   ",C7/B7*100)</f>
        <v>22.393978494623656</v>
      </c>
      <c r="E7" s="42">
        <f aca="true" t="shared" si="1" ref="E7:E92">C7-B7</f>
        <v>-21652.08</v>
      </c>
    </row>
    <row r="8" spans="1:5" ht="12.75">
      <c r="A8" s="16" t="s">
        <v>44</v>
      </c>
      <c r="B8" s="84">
        <v>27900</v>
      </c>
      <c r="C8" s="243">
        <v>6247.92</v>
      </c>
      <c r="D8" s="26">
        <f t="shared" si="0"/>
        <v>22.393978494623656</v>
      </c>
      <c r="E8" s="42">
        <f t="shared" si="1"/>
        <v>-21652.08</v>
      </c>
    </row>
    <row r="9" spans="1:5" ht="16.5" customHeight="1">
      <c r="A9" s="64" t="s">
        <v>137</v>
      </c>
      <c r="B9" s="200">
        <f>SUM(B10)</f>
        <v>515900</v>
      </c>
      <c r="C9" s="200">
        <f>SUM(C10)</f>
        <v>314389.44</v>
      </c>
      <c r="D9" s="26">
        <f t="shared" si="0"/>
        <v>60.939996123279705</v>
      </c>
      <c r="E9" s="42">
        <f t="shared" si="1"/>
        <v>-201510.56</v>
      </c>
    </row>
    <row r="10" spans="1:5" ht="12.75">
      <c r="A10" s="41" t="s">
        <v>138</v>
      </c>
      <c r="B10" s="201">
        <v>515900</v>
      </c>
      <c r="C10" s="243">
        <v>314389.44</v>
      </c>
      <c r="D10" s="26">
        <f t="shared" si="0"/>
        <v>60.939996123279705</v>
      </c>
      <c r="E10" s="42">
        <f t="shared" si="1"/>
        <v>-201510.56</v>
      </c>
    </row>
    <row r="11" spans="1:5" ht="16.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01">
        <f>SUM(B14:B15)</f>
        <v>253000</v>
      </c>
      <c r="C13" s="201">
        <f>SUM(C14:C15)</f>
        <v>87124.56999999999</v>
      </c>
      <c r="D13" s="26">
        <f t="shared" si="0"/>
        <v>34.43658893280632</v>
      </c>
      <c r="E13" s="42">
        <f t="shared" si="1"/>
        <v>-165875.43</v>
      </c>
    </row>
    <row r="14" spans="1:5" ht="15" customHeight="1">
      <c r="A14" s="16" t="s">
        <v>111</v>
      </c>
      <c r="B14" s="201">
        <v>28000</v>
      </c>
      <c r="C14" s="243">
        <v>21.11</v>
      </c>
      <c r="D14" s="26">
        <f t="shared" si="0"/>
        <v>0.07539285714285714</v>
      </c>
      <c r="E14" s="42">
        <f t="shared" si="1"/>
        <v>-27978.89</v>
      </c>
    </row>
    <row r="15" spans="1:5" ht="15.75" customHeight="1">
      <c r="A15" s="41" t="s">
        <v>160</v>
      </c>
      <c r="B15" s="201">
        <f>SUM(B16:B17)</f>
        <v>225000</v>
      </c>
      <c r="C15" s="201">
        <f>SUM(C16:C17)</f>
        <v>87103.45999999999</v>
      </c>
      <c r="D15" s="26">
        <f t="shared" si="0"/>
        <v>38.712648888888886</v>
      </c>
      <c r="E15" s="42">
        <f t="shared" si="1"/>
        <v>-137896.54</v>
      </c>
    </row>
    <row r="16" spans="1:5" ht="15.75" customHeight="1">
      <c r="A16" s="41" t="s">
        <v>161</v>
      </c>
      <c r="B16" s="201">
        <v>136000</v>
      </c>
      <c r="C16" s="243">
        <v>68935</v>
      </c>
      <c r="D16" s="26">
        <f t="shared" si="0"/>
        <v>50.6875</v>
      </c>
      <c r="E16" s="42">
        <f t="shared" si="1"/>
        <v>-67065</v>
      </c>
    </row>
    <row r="17" spans="1:5" ht="15.75" customHeight="1">
      <c r="A17" s="41" t="s">
        <v>162</v>
      </c>
      <c r="B17" s="201">
        <v>89000</v>
      </c>
      <c r="C17" s="243">
        <v>18168.46</v>
      </c>
      <c r="D17" s="26">
        <f t="shared" si="0"/>
        <v>20.413999999999998</v>
      </c>
      <c r="E17" s="42">
        <f t="shared" si="1"/>
        <v>-70831.54000000001</v>
      </c>
    </row>
    <row r="18" spans="1:5" ht="15.75" customHeight="1">
      <c r="A18" s="41" t="s">
        <v>196</v>
      </c>
      <c r="B18" s="201">
        <v>0</v>
      </c>
      <c r="C18" s="202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201">
        <v>0</v>
      </c>
      <c r="C19" s="201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01">
        <f>SUM(B21:B23)</f>
        <v>230300</v>
      </c>
      <c r="C20" s="201">
        <f>SUM(C21:C23)</f>
        <v>3082.3</v>
      </c>
      <c r="D20" s="26">
        <f t="shared" si="0"/>
        <v>1.3383847155883632</v>
      </c>
      <c r="E20" s="42">
        <f t="shared" si="1"/>
        <v>-227217.7</v>
      </c>
    </row>
    <row r="21" spans="1:5" ht="12.75">
      <c r="A21" s="16" t="s">
        <v>151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272</v>
      </c>
      <c r="B22" s="201">
        <v>3000</v>
      </c>
      <c r="C22" s="202">
        <v>3068</v>
      </c>
      <c r="D22" s="26">
        <f>IF(B22=0,"   ",C22/B22*100)</f>
        <v>102.26666666666667</v>
      </c>
      <c r="E22" s="42">
        <f>C22-B22</f>
        <v>68</v>
      </c>
    </row>
    <row r="23" spans="1:5" ht="16.5" customHeight="1">
      <c r="A23" s="41" t="s">
        <v>152</v>
      </c>
      <c r="B23" s="201">
        <v>227300</v>
      </c>
      <c r="C23" s="202">
        <v>14.3</v>
      </c>
      <c r="D23" s="26">
        <f t="shared" si="0"/>
        <v>0.006291245050593928</v>
      </c>
      <c r="E23" s="42">
        <f t="shared" si="1"/>
        <v>-227285.7</v>
      </c>
    </row>
    <row r="24" spans="1:5" ht="17.25" customHeight="1">
      <c r="A24" s="39" t="s">
        <v>91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201">
        <f>SUM(B26)</f>
        <v>0</v>
      </c>
      <c r="C25" s="201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200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201">
        <f>SUM(B29)</f>
        <v>0</v>
      </c>
      <c r="C27" s="201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201">
        <v>0</v>
      </c>
      <c r="C28" s="201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3" t="s">
        <v>10</v>
      </c>
      <c r="B30" s="175">
        <f>B7+B11+B13+B20+B24+B25+B27+B9+B19+B18</f>
        <v>1027100</v>
      </c>
      <c r="C30" s="175">
        <f>C7+C11+C13+C20+C24+C25+C27+C9+C19+C18</f>
        <v>410844.23</v>
      </c>
      <c r="D30" s="141">
        <f t="shared" si="0"/>
        <v>40.000411839158794</v>
      </c>
      <c r="E30" s="142">
        <f t="shared" si="1"/>
        <v>-616255.77</v>
      </c>
    </row>
    <row r="31" spans="1:5" ht="21" customHeight="1">
      <c r="A31" s="181" t="s">
        <v>140</v>
      </c>
      <c r="B31" s="189">
        <f>SUM(B32:B35,B38,B39,B43+B44+B45)</f>
        <v>3493390</v>
      </c>
      <c r="C31" s="189">
        <f>SUM(C32:C35,C38,C39,C43+C44+C45)</f>
        <v>1225586.45</v>
      </c>
      <c r="D31" s="141">
        <f t="shared" si="0"/>
        <v>35.083012489301225</v>
      </c>
      <c r="E31" s="142">
        <f t="shared" si="1"/>
        <v>-2267803.55</v>
      </c>
    </row>
    <row r="32" spans="1:5" ht="15.75" customHeight="1">
      <c r="A32" s="17" t="s">
        <v>34</v>
      </c>
      <c r="B32" s="160">
        <v>876800</v>
      </c>
      <c r="C32" s="243">
        <v>584200</v>
      </c>
      <c r="D32" s="26">
        <f t="shared" si="0"/>
        <v>66.6286496350365</v>
      </c>
      <c r="E32" s="42">
        <f t="shared" si="1"/>
        <v>-292600</v>
      </c>
    </row>
    <row r="33" spans="1:5" ht="15.75" customHeight="1">
      <c r="A33" s="17" t="s">
        <v>229</v>
      </c>
      <c r="B33" s="160">
        <v>0</v>
      </c>
      <c r="C33" s="243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4" t="s">
        <v>51</v>
      </c>
      <c r="B34" s="135">
        <v>90300</v>
      </c>
      <c r="C34" s="237">
        <v>55700</v>
      </c>
      <c r="D34" s="136">
        <f t="shared" si="0"/>
        <v>61.683277962347724</v>
      </c>
      <c r="E34" s="137">
        <f t="shared" si="1"/>
        <v>-34600</v>
      </c>
    </row>
    <row r="35" spans="1:5" ht="29.25" customHeight="1">
      <c r="A35" s="109" t="s">
        <v>148</v>
      </c>
      <c r="B35" s="201">
        <f>SUM(B36:B37)</f>
        <v>6600</v>
      </c>
      <c r="C35" s="201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9" t="s">
        <v>163</v>
      </c>
      <c r="B36" s="201">
        <v>0</v>
      </c>
      <c r="C36" s="202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9" t="s">
        <v>164</v>
      </c>
      <c r="B37" s="201">
        <v>6600</v>
      </c>
      <c r="C37" s="202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238</v>
      </c>
      <c r="B38" s="201">
        <v>491300</v>
      </c>
      <c r="C38" s="202">
        <v>488853.45</v>
      </c>
      <c r="D38" s="26">
        <f>IF(B38=0,"   ",C38/B38*100)</f>
        <v>99.50202523916141</v>
      </c>
      <c r="E38" s="42">
        <f>C38-B38</f>
        <v>-2446.5499999999884</v>
      </c>
    </row>
    <row r="39" spans="1:5" ht="18" customHeight="1">
      <c r="A39" s="16" t="s">
        <v>82</v>
      </c>
      <c r="B39" s="201">
        <f>B42+B40+B41</f>
        <v>1628390</v>
      </c>
      <c r="C39" s="201">
        <f>C42+C40</f>
        <v>96833</v>
      </c>
      <c r="D39" s="26">
        <f t="shared" si="0"/>
        <v>5.946548431272607</v>
      </c>
      <c r="E39" s="42">
        <f t="shared" si="1"/>
        <v>-1531557</v>
      </c>
    </row>
    <row r="40" spans="1:5" ht="27" customHeight="1">
      <c r="A40" s="46" t="s">
        <v>188</v>
      </c>
      <c r="B40" s="201">
        <v>0</v>
      </c>
      <c r="C40" s="201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296</v>
      </c>
      <c r="B41" s="201">
        <v>1308890</v>
      </c>
      <c r="C41" s="201">
        <v>0</v>
      </c>
      <c r="D41" s="26">
        <f>IF(B41=0,"   ",C41/B41*100)</f>
        <v>0</v>
      </c>
      <c r="E41" s="42">
        <f>C41-B41</f>
        <v>-1308890</v>
      </c>
    </row>
    <row r="42" spans="1:5" ht="17.25" customHeight="1">
      <c r="A42" s="16" t="s">
        <v>109</v>
      </c>
      <c r="B42" s="201">
        <v>319500</v>
      </c>
      <c r="C42" s="201">
        <v>96833</v>
      </c>
      <c r="D42" s="26">
        <f t="shared" si="0"/>
        <v>30.307668231611895</v>
      </c>
      <c r="E42" s="42">
        <f t="shared" si="1"/>
        <v>-222667</v>
      </c>
    </row>
    <row r="43" spans="1:5" ht="30.75" customHeight="1">
      <c r="A43" s="16" t="s">
        <v>298</v>
      </c>
      <c r="B43" s="201">
        <v>400000</v>
      </c>
      <c r="C43" s="201">
        <v>0</v>
      </c>
      <c r="D43" s="26">
        <f t="shared" si="0"/>
        <v>0</v>
      </c>
      <c r="E43" s="42">
        <f t="shared" si="1"/>
        <v>-400000</v>
      </c>
    </row>
    <row r="44" spans="1:5" s="7" customFormat="1" ht="42" customHeight="1">
      <c r="A44" s="16" t="s">
        <v>103</v>
      </c>
      <c r="B44" s="201">
        <v>0</v>
      </c>
      <c r="C44" s="202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199</v>
      </c>
      <c r="B45" s="201">
        <v>0</v>
      </c>
      <c r="C45" s="202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3" t="s">
        <v>11</v>
      </c>
      <c r="B46" s="150">
        <f>SUM(B30,B31,)</f>
        <v>4520490</v>
      </c>
      <c r="C46" s="150">
        <f>SUM(C30,C31,)</f>
        <v>1636430.68</v>
      </c>
      <c r="D46" s="141">
        <f t="shared" si="0"/>
        <v>36.20029421589253</v>
      </c>
      <c r="E46" s="142">
        <f t="shared" si="1"/>
        <v>-2884059.3200000003</v>
      </c>
    </row>
    <row r="47" spans="1:5" ht="14.25" customHeight="1">
      <c r="A47" s="30"/>
      <c r="B47" s="160"/>
      <c r="C47" s="152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1127100</v>
      </c>
      <c r="C49" s="27">
        <f>SUM(C50,C54)</f>
        <v>539172.39</v>
      </c>
      <c r="D49" s="26">
        <f t="shared" si="0"/>
        <v>47.83713867447432</v>
      </c>
      <c r="E49" s="42">
        <f t="shared" si="1"/>
        <v>-587927.61</v>
      </c>
    </row>
    <row r="50" spans="1:5" ht="16.5" customHeight="1">
      <c r="A50" s="16" t="s">
        <v>36</v>
      </c>
      <c r="B50" s="25">
        <v>1126600</v>
      </c>
      <c r="C50" s="25">
        <v>539172.39</v>
      </c>
      <c r="D50" s="26">
        <f t="shared" si="0"/>
        <v>47.858369430143796</v>
      </c>
      <c r="E50" s="42">
        <f t="shared" si="1"/>
        <v>-587427.61</v>
      </c>
    </row>
    <row r="51" spans="1:5" ht="12.75">
      <c r="A51" s="85" t="s">
        <v>122</v>
      </c>
      <c r="B51" s="25">
        <v>765438</v>
      </c>
      <c r="C51" s="28">
        <v>378290.11</v>
      </c>
      <c r="D51" s="26">
        <f t="shared" si="0"/>
        <v>49.42139141249846</v>
      </c>
      <c r="E51" s="42">
        <f t="shared" si="1"/>
        <v>-387147.89</v>
      </c>
    </row>
    <row r="52" spans="1:5" ht="12.75">
      <c r="A52" s="85" t="s">
        <v>288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SUM(B55)</f>
        <v>0</v>
      </c>
      <c r="C54" s="27">
        <f>SUM(C55)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5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90300</v>
      </c>
      <c r="C56" s="27">
        <f>SUM(C57)</f>
        <v>55567.78</v>
      </c>
      <c r="D56" s="26">
        <f t="shared" si="0"/>
        <v>61.53685492801772</v>
      </c>
      <c r="E56" s="42">
        <f t="shared" si="1"/>
        <v>-34732.22</v>
      </c>
    </row>
    <row r="57" spans="1:5" ht="19.5" customHeight="1">
      <c r="A57" s="16" t="s">
        <v>107</v>
      </c>
      <c r="B57" s="25">
        <v>90300</v>
      </c>
      <c r="C57" s="27">
        <v>55567.78</v>
      </c>
      <c r="D57" s="26">
        <f t="shared" si="0"/>
        <v>61.53685492801772</v>
      </c>
      <c r="E57" s="42">
        <f t="shared" si="1"/>
        <v>-34732.22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41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B64+B61+B72</f>
        <v>1438241.55</v>
      </c>
      <c r="C60" s="25">
        <f>C64+C61+C72</f>
        <v>650762.5</v>
      </c>
      <c r="D60" s="26">
        <f t="shared" si="0"/>
        <v>45.24709357757047</v>
      </c>
      <c r="E60" s="42">
        <f t="shared" si="1"/>
        <v>-787479.05</v>
      </c>
    </row>
    <row r="61" spans="1:5" ht="19.5" customHeight="1">
      <c r="A61" s="75" t="s">
        <v>165</v>
      </c>
      <c r="B61" s="25">
        <f>SUM(B63,B62)</f>
        <v>6600</v>
      </c>
      <c r="C61" s="25">
        <f>SUM(C63,C62)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169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3.5" customHeight="1">
      <c r="A63" s="75" t="s">
        <v>166</v>
      </c>
      <c r="B63" s="25">
        <v>6600</v>
      </c>
      <c r="C63" s="25">
        <v>0</v>
      </c>
      <c r="D63" s="26">
        <f>IF(B63=0,"   ",C63/B63*100)</f>
        <v>0</v>
      </c>
      <c r="E63" s="42">
        <f>C63-B63</f>
        <v>-6600</v>
      </c>
    </row>
    <row r="64" spans="1:5" ht="12.75">
      <c r="A64" s="96" t="s">
        <v>131</v>
      </c>
      <c r="B64" s="25">
        <f>SUM(B65:B71)</f>
        <v>1391741.55</v>
      </c>
      <c r="C64" s="25">
        <f>SUM(C65:C71)</f>
        <v>650762.5</v>
      </c>
      <c r="D64" s="26">
        <f t="shared" si="0"/>
        <v>46.758861226784525</v>
      </c>
      <c r="E64" s="42">
        <f t="shared" si="1"/>
        <v>-740979.05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257</v>
      </c>
      <c r="B66" s="25">
        <v>442341.55</v>
      </c>
      <c r="C66" s="25">
        <v>0</v>
      </c>
      <c r="D66" s="26">
        <f t="shared" si="0"/>
        <v>0</v>
      </c>
      <c r="E66" s="42">
        <f t="shared" si="1"/>
        <v>-442341.55</v>
      </c>
    </row>
    <row r="67" spans="1:5" ht="27.75" customHeight="1">
      <c r="A67" s="71" t="s">
        <v>258</v>
      </c>
      <c r="B67" s="25">
        <v>48500</v>
      </c>
      <c r="C67" s="25">
        <v>0</v>
      </c>
      <c r="D67" s="26">
        <f t="shared" si="0"/>
        <v>0</v>
      </c>
      <c r="E67" s="42">
        <f t="shared" si="1"/>
        <v>-48500</v>
      </c>
    </row>
    <row r="68" spans="1:5" ht="31.5" customHeight="1">
      <c r="A68" s="71" t="s">
        <v>259</v>
      </c>
      <c r="B68" s="25">
        <v>491300</v>
      </c>
      <c r="C68" s="25">
        <v>488853.45</v>
      </c>
      <c r="D68" s="26">
        <f t="shared" si="0"/>
        <v>99.50202523916141</v>
      </c>
      <c r="E68" s="42">
        <f t="shared" si="1"/>
        <v>-2446.5499999999884</v>
      </c>
    </row>
    <row r="69" spans="1:5" ht="27.75" customHeight="1">
      <c r="A69" s="71" t="s">
        <v>260</v>
      </c>
      <c r="B69" s="25">
        <v>54600</v>
      </c>
      <c r="C69" s="25">
        <v>54317.05</v>
      </c>
      <c r="D69" s="26">
        <f t="shared" si="0"/>
        <v>99.48177655677655</v>
      </c>
      <c r="E69" s="42">
        <f t="shared" si="1"/>
        <v>-282.9499999999971</v>
      </c>
    </row>
    <row r="70" spans="1:5" ht="28.5" customHeight="1">
      <c r="A70" s="71" t="s">
        <v>261</v>
      </c>
      <c r="B70" s="25">
        <v>319500</v>
      </c>
      <c r="C70" s="25">
        <v>96833</v>
      </c>
      <c r="D70" s="26">
        <f t="shared" si="0"/>
        <v>30.307668231611895</v>
      </c>
      <c r="E70" s="42">
        <f t="shared" si="1"/>
        <v>-222667</v>
      </c>
    </row>
    <row r="71" spans="1:5" ht="30" customHeight="1">
      <c r="A71" s="71" t="s">
        <v>262</v>
      </c>
      <c r="B71" s="25">
        <v>35500</v>
      </c>
      <c r="C71" s="25">
        <v>10759</v>
      </c>
      <c r="D71" s="26">
        <f t="shared" si="0"/>
        <v>30.30704225352113</v>
      </c>
      <c r="E71" s="42">
        <f t="shared" si="1"/>
        <v>-24741</v>
      </c>
    </row>
    <row r="72" spans="1:5" ht="24" customHeight="1">
      <c r="A72" s="96" t="s">
        <v>177</v>
      </c>
      <c r="B72" s="25">
        <f>SUM(B73)</f>
        <v>39900</v>
      </c>
      <c r="C72" s="25">
        <f>SUM(C73)</f>
        <v>0</v>
      </c>
      <c r="D72" s="26">
        <f>IF(B72=0,"   ",C72/B72*100)</f>
        <v>0</v>
      </c>
      <c r="E72" s="42">
        <f>C72-B72</f>
        <v>-39900</v>
      </c>
    </row>
    <row r="73" spans="1:5" ht="30" customHeight="1">
      <c r="A73" s="75" t="s">
        <v>178</v>
      </c>
      <c r="B73" s="25">
        <v>39900</v>
      </c>
      <c r="C73" s="25">
        <v>0</v>
      </c>
      <c r="D73" s="26">
        <f>IF(B73=0,"   ",C73/B73*100)</f>
        <v>0</v>
      </c>
      <c r="E73" s="42">
        <f>C73-B73</f>
        <v>-39900</v>
      </c>
    </row>
    <row r="74" spans="1:5" ht="15" customHeight="1">
      <c r="A74" s="16" t="s">
        <v>13</v>
      </c>
      <c r="B74" s="25">
        <f>SUM(B77,B75)</f>
        <v>1851508.75</v>
      </c>
      <c r="C74" s="25">
        <f>SUM(C77,C75)</f>
        <v>80385.08</v>
      </c>
      <c r="D74" s="26">
        <f t="shared" si="0"/>
        <v>4.34159870970094</v>
      </c>
      <c r="E74" s="42">
        <f t="shared" si="1"/>
        <v>-1771123.67</v>
      </c>
    </row>
    <row r="75" spans="1:5" ht="15.75" customHeight="1">
      <c r="A75" s="16" t="s">
        <v>90</v>
      </c>
      <c r="B75" s="25">
        <f>B76</f>
        <v>1308890</v>
      </c>
      <c r="C75" s="25">
        <f>C76</f>
        <v>0</v>
      </c>
      <c r="D75" s="26">
        <f>IF(B75=0,"   ",C75/B75*100)</f>
        <v>0</v>
      </c>
      <c r="E75" s="42">
        <f>C75-B75</f>
        <v>-1308890</v>
      </c>
    </row>
    <row r="76" spans="1:5" ht="25.5" customHeight="1">
      <c r="A76" s="16" t="s">
        <v>301</v>
      </c>
      <c r="B76" s="25">
        <v>1308890</v>
      </c>
      <c r="C76" s="25">
        <v>0</v>
      </c>
      <c r="D76" s="26">
        <f>IF(B76=0,"   ",C76/B76*100)</f>
        <v>0</v>
      </c>
      <c r="E76" s="42">
        <f>C76-B76</f>
        <v>-1308890</v>
      </c>
    </row>
    <row r="77" spans="1:5" ht="12.75">
      <c r="A77" s="16" t="s">
        <v>58</v>
      </c>
      <c r="B77" s="25">
        <f>B78+B80+B79+B81</f>
        <v>542618.75</v>
      </c>
      <c r="C77" s="25">
        <f>C78+C80+C79+C81</f>
        <v>80385.08</v>
      </c>
      <c r="D77" s="26">
        <f t="shared" si="0"/>
        <v>14.81428350937007</v>
      </c>
      <c r="E77" s="42">
        <f t="shared" si="1"/>
        <v>-462233.67</v>
      </c>
    </row>
    <row r="78" spans="1:5" ht="12.75">
      <c r="A78" s="16" t="s">
        <v>60</v>
      </c>
      <c r="B78" s="25">
        <v>140000</v>
      </c>
      <c r="C78" s="27">
        <v>80385.08</v>
      </c>
      <c r="D78" s="26">
        <f t="shared" si="0"/>
        <v>57.41791428571429</v>
      </c>
      <c r="E78" s="42">
        <f t="shared" si="1"/>
        <v>-59614.92</v>
      </c>
    </row>
    <row r="79" spans="1:5" ht="26.25">
      <c r="A79" s="105" t="s">
        <v>302</v>
      </c>
      <c r="B79" s="25">
        <v>400000</v>
      </c>
      <c r="C79" s="27">
        <v>0</v>
      </c>
      <c r="D79" s="26">
        <f t="shared" si="0"/>
        <v>0</v>
      </c>
      <c r="E79" s="42">
        <f t="shared" si="1"/>
        <v>-400000</v>
      </c>
    </row>
    <row r="80" spans="1:5" ht="12.75">
      <c r="A80" s="16" t="s">
        <v>59</v>
      </c>
      <c r="B80" s="25">
        <v>2618.75</v>
      </c>
      <c r="C80" s="27">
        <v>0</v>
      </c>
      <c r="D80" s="26">
        <f t="shared" si="0"/>
        <v>0</v>
      </c>
      <c r="E80" s="42">
        <f t="shared" si="1"/>
        <v>-2618.75</v>
      </c>
    </row>
    <row r="81" spans="1:5" ht="26.25">
      <c r="A81" s="105" t="s">
        <v>206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5" t="s">
        <v>187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5" t="s">
        <v>200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5" t="s">
        <v>212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8000</v>
      </c>
      <c r="C85" s="31">
        <v>0</v>
      </c>
      <c r="D85" s="26">
        <f t="shared" si="0"/>
        <v>0</v>
      </c>
      <c r="E85" s="42">
        <f t="shared" si="1"/>
        <v>-8000</v>
      </c>
    </row>
    <row r="86" spans="1:5" ht="15" customHeight="1">
      <c r="A86" s="16" t="s">
        <v>41</v>
      </c>
      <c r="B86" s="24">
        <f>SUM(B87,)</f>
        <v>50000</v>
      </c>
      <c r="C86" s="24">
        <f>SUM(C87,)</f>
        <v>50000</v>
      </c>
      <c r="D86" s="26">
        <f t="shared" si="0"/>
        <v>100</v>
      </c>
      <c r="E86" s="42">
        <f t="shared" si="1"/>
        <v>0</v>
      </c>
    </row>
    <row r="87" spans="1:5" ht="12.75">
      <c r="A87" s="16" t="s">
        <v>42</v>
      </c>
      <c r="B87" s="25">
        <v>50000</v>
      </c>
      <c r="C87" s="27">
        <v>50000</v>
      </c>
      <c r="D87" s="26">
        <f t="shared" si="0"/>
        <v>100</v>
      </c>
      <c r="E87" s="42">
        <f t="shared" si="1"/>
        <v>0</v>
      </c>
    </row>
    <row r="88" spans="1:5" ht="12.75">
      <c r="A88" s="16" t="s">
        <v>233</v>
      </c>
      <c r="B88" s="24">
        <f>SUM(B89,)</f>
        <v>6000</v>
      </c>
      <c r="C88" s="24">
        <f>SUM(C89,)</f>
        <v>1219.77</v>
      </c>
      <c r="D88" s="26">
        <f>IF(B88=0,"   ",C88/B88*100)</f>
        <v>20.3295</v>
      </c>
      <c r="E88" s="42">
        <f>C88-B88</f>
        <v>-4780.23</v>
      </c>
    </row>
    <row r="89" spans="1:5" ht="12.75">
      <c r="A89" s="16" t="s">
        <v>234</v>
      </c>
      <c r="B89" s="25">
        <v>6000</v>
      </c>
      <c r="C89" s="27">
        <v>1219.77</v>
      </c>
      <c r="D89" s="26">
        <f>IF(B89=0,"   ",C89/B89*100)</f>
        <v>20.3295</v>
      </c>
      <c r="E89" s="42">
        <f>C89-B89</f>
        <v>-4780.23</v>
      </c>
    </row>
    <row r="90" spans="1:5" ht="18" customHeight="1">
      <c r="A90" s="16" t="s">
        <v>124</v>
      </c>
      <c r="B90" s="24">
        <f>SUM(B91,)</f>
        <v>16000</v>
      </c>
      <c r="C90" s="24">
        <f>SUM(C91,)</f>
        <v>0</v>
      </c>
      <c r="D90" s="26">
        <f t="shared" si="0"/>
        <v>0</v>
      </c>
      <c r="E90" s="42">
        <f t="shared" si="1"/>
        <v>-16000</v>
      </c>
    </row>
    <row r="91" spans="1:5" ht="12.75">
      <c r="A91" s="16" t="s">
        <v>43</v>
      </c>
      <c r="B91" s="199">
        <v>16000</v>
      </c>
      <c r="C91" s="28">
        <v>0</v>
      </c>
      <c r="D91" s="26">
        <f t="shared" si="0"/>
        <v>0</v>
      </c>
      <c r="E91" s="42">
        <f t="shared" si="1"/>
        <v>-16000</v>
      </c>
    </row>
    <row r="92" spans="1:5" ht="21" customHeight="1">
      <c r="A92" s="173" t="s">
        <v>15</v>
      </c>
      <c r="B92" s="150">
        <f>SUM(B49,B56,B58,B60,B74,B85,B86,B88,B90,)</f>
        <v>4588150.3</v>
      </c>
      <c r="C92" s="150">
        <f>SUM(C49,C56,C58,C60,C74,C85,C86,C88,C90,)</f>
        <v>1378107.52</v>
      </c>
      <c r="D92" s="141">
        <f>IF(B92=0,"   ",C92/B92*100)</f>
        <v>30.03623311991327</v>
      </c>
      <c r="E92" s="142">
        <f t="shared" si="1"/>
        <v>-3210042.78</v>
      </c>
    </row>
    <row r="93" spans="1:5" s="59" customFormat="1" ht="23.25" customHeight="1">
      <c r="A93" s="80" t="s">
        <v>304</v>
      </c>
      <c r="B93" s="80"/>
      <c r="C93" s="307"/>
      <c r="D93" s="307"/>
      <c r="E93" s="307"/>
    </row>
    <row r="94" spans="1:5" s="59" customFormat="1" ht="12" customHeight="1">
      <c r="A94" s="80" t="s">
        <v>154</v>
      </c>
      <c r="B94" s="80"/>
      <c r="C94" s="81" t="s">
        <v>247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68">
      <selection activeCell="H175" sqref="H175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5">
      <c r="A1" s="311" t="s">
        <v>319</v>
      </c>
      <c r="B1" s="311"/>
      <c r="C1" s="311"/>
      <c r="D1" s="311"/>
      <c r="E1" s="311"/>
    </row>
    <row r="2" spans="1:5" ht="9.75" customHeight="1" thickBot="1">
      <c r="A2" s="258"/>
      <c r="B2" s="258"/>
      <c r="C2" s="259"/>
      <c r="D2" s="258"/>
      <c r="E2" s="258" t="s">
        <v>0</v>
      </c>
    </row>
    <row r="3" spans="1:5" ht="108" customHeight="1">
      <c r="A3" s="254" t="s">
        <v>1</v>
      </c>
      <c r="B3" s="255" t="s">
        <v>251</v>
      </c>
      <c r="C3" s="256" t="s">
        <v>320</v>
      </c>
      <c r="D3" s="255" t="s">
        <v>252</v>
      </c>
      <c r="E3" s="257" t="s">
        <v>253</v>
      </c>
    </row>
    <row r="4" spans="1:5" ht="15">
      <c r="A4" s="260">
        <v>1</v>
      </c>
      <c r="B4" s="261">
        <v>2</v>
      </c>
      <c r="C4" s="262">
        <v>3</v>
      </c>
      <c r="D4" s="263">
        <v>4</v>
      </c>
      <c r="E4" s="264">
        <v>5</v>
      </c>
    </row>
    <row r="5" spans="1:5" ht="15.75" customHeight="1">
      <c r="A5" s="265" t="s">
        <v>2</v>
      </c>
      <c r="B5" s="266"/>
      <c r="C5" s="267"/>
      <c r="D5" s="268"/>
      <c r="E5" s="269"/>
    </row>
    <row r="6" spans="1:5" ht="15">
      <c r="A6" s="270" t="s">
        <v>45</v>
      </c>
      <c r="B6" s="271">
        <f>SUM(B7)</f>
        <v>11138900</v>
      </c>
      <c r="C6" s="271">
        <f>SUM(C7)</f>
        <v>6859872.75</v>
      </c>
      <c r="D6" s="272">
        <f aca="true" t="shared" si="0" ref="D6:D34">IF(B6=0,"   ",C6/B6*100)</f>
        <v>61.58483108745029</v>
      </c>
      <c r="E6" s="273">
        <f aca="true" t="shared" si="1" ref="E6:E61">C6-B6</f>
        <v>-4279027.25</v>
      </c>
    </row>
    <row r="7" spans="1:5" ht="15">
      <c r="A7" s="274" t="s">
        <v>44</v>
      </c>
      <c r="B7" s="275">
        <f>Лист1!B9+Лист2!B7+Лист3!B7+Лист4!B8+Лист5!B8+Лист6!B8+Лист7!B8+Лист8!B8+Лист9!B8+Лист10!B8</f>
        <v>11138900</v>
      </c>
      <c r="C7" s="275">
        <f>Лист1!C9+Лист2!C7+Лист3!C7+Лист4!C8+Лист5!C8+Лист6!C8+Лист7!C8+Лист8!C8+Лист9!C8+Лист10!C8</f>
        <v>6859872.75</v>
      </c>
      <c r="D7" s="272">
        <f t="shared" si="0"/>
        <v>61.58483108745029</v>
      </c>
      <c r="E7" s="273">
        <f t="shared" si="1"/>
        <v>-4279027.25</v>
      </c>
    </row>
    <row r="8" spans="1:5" ht="31.5" customHeight="1">
      <c r="A8" s="270" t="s">
        <v>137</v>
      </c>
      <c r="B8" s="271">
        <f>SUM(B9)</f>
        <v>7469300</v>
      </c>
      <c r="C8" s="271">
        <f>SUM(C9)</f>
        <v>4551677.340000001</v>
      </c>
      <c r="D8" s="272">
        <f t="shared" si="0"/>
        <v>60.93847268150966</v>
      </c>
      <c r="E8" s="273">
        <f t="shared" si="1"/>
        <v>-2917622.659999999</v>
      </c>
    </row>
    <row r="9" spans="1:5" ht="30.75">
      <c r="A9" s="274" t="s">
        <v>138</v>
      </c>
      <c r="B9" s="275">
        <f>Лист1!B15+Лист2!B9+Лист3!B9+Лист4!B10+Лист5!B10+Лист6!B10+Лист7!B10+Лист8!B10+Лист9!B10+Лист10!B10</f>
        <v>7469300</v>
      </c>
      <c r="C9" s="275">
        <f>Лист1!C15+Лист2!C9+Лист3!C9+Лист4!C10+Лист5!C10+Лист6!C10+Лист7!C10+Лист8!C10+Лист9!C10+Лист10!C10</f>
        <v>4551677.340000001</v>
      </c>
      <c r="D9" s="272">
        <f t="shared" si="0"/>
        <v>60.93847268150966</v>
      </c>
      <c r="E9" s="273">
        <f t="shared" si="1"/>
        <v>-2917622.659999999</v>
      </c>
    </row>
    <row r="10" spans="1:5" ht="15">
      <c r="A10" s="274" t="s">
        <v>7</v>
      </c>
      <c r="B10" s="275">
        <f>B11</f>
        <v>294200</v>
      </c>
      <c r="C10" s="275">
        <f>SUM(C11:C11)</f>
        <v>294975.12</v>
      </c>
      <c r="D10" s="272">
        <f t="shared" si="0"/>
        <v>100.2634670292318</v>
      </c>
      <c r="E10" s="273">
        <f t="shared" si="1"/>
        <v>775.1199999999953</v>
      </c>
    </row>
    <row r="11" spans="1:5" ht="15">
      <c r="A11" s="274" t="s">
        <v>26</v>
      </c>
      <c r="B11" s="275">
        <f>Лист1!B18+Лист2!B11+Лист3!B11+Лист4!B12+Лист5!B12+Лист6!B12+Лист7!B12+Лист8!B12+Лист9!B12+Лист10!B12</f>
        <v>294200</v>
      </c>
      <c r="C11" s="275">
        <f>Лист1!C18+Лист2!C11+Лист3!C11+Лист4!C12+Лист5!C12+Лист6!C12+Лист7!C12+Лист8!C12+Лист9!C12+Лист10!C12</f>
        <v>294975.12</v>
      </c>
      <c r="D11" s="272">
        <f t="shared" si="0"/>
        <v>100.2634670292318</v>
      </c>
      <c r="E11" s="273">
        <f t="shared" si="1"/>
        <v>775.1199999999953</v>
      </c>
    </row>
    <row r="12" spans="1:5" ht="15">
      <c r="A12" s="274" t="s">
        <v>9</v>
      </c>
      <c r="B12" s="275">
        <f>SUM(B13:B14)</f>
        <v>9459000</v>
      </c>
      <c r="C12" s="275">
        <f>SUM(C13:C14)</f>
        <v>1968823.3399999999</v>
      </c>
      <c r="D12" s="272">
        <f t="shared" si="0"/>
        <v>20.814286288191138</v>
      </c>
      <c r="E12" s="273">
        <f t="shared" si="1"/>
        <v>-7490176.66</v>
      </c>
    </row>
    <row r="13" spans="1:5" ht="15">
      <c r="A13" s="274" t="s">
        <v>27</v>
      </c>
      <c r="B13" s="275">
        <f>Лист1!B20+Лист2!B13+Лист3!B13+Лист4!B14+Лист5!B14+Лист6!B14+Лист7!B14+Лист8!B14+Лист9!B14+Лист10!B14</f>
        <v>4617500</v>
      </c>
      <c r="C13" s="275">
        <f>Лист1!C20+Лист2!C13+Лист3!C13+Лист4!C14+Лист5!C14+Лист6!C14+Лист7!C14+Лист8!C14+Лист9!C14+Лист10!C14</f>
        <v>357066.92</v>
      </c>
      <c r="D13" s="272">
        <f t="shared" si="0"/>
        <v>7.732905684894423</v>
      </c>
      <c r="E13" s="273">
        <f t="shared" si="1"/>
        <v>-4260433.08</v>
      </c>
    </row>
    <row r="14" spans="1:5" ht="15">
      <c r="A14" s="274" t="s">
        <v>160</v>
      </c>
      <c r="B14" s="275">
        <f>Лист1!B21+Лист2!B14+Лист3!B14+Лист4!B15+Лист5!B15+Лист6!B15+Лист7!B15+Лист8!B15+Лист9!B15+Лист10!B15</f>
        <v>4841500</v>
      </c>
      <c r="C14" s="275">
        <f>Лист1!C21+Лист2!C14+Лист3!C14+Лист4!C15+Лист5!C15+Лист6!C15+Лист7!C15+Лист8!C15+Лист9!C15+Лист10!C15</f>
        <v>1611756.42</v>
      </c>
      <c r="D14" s="272">
        <f t="shared" si="0"/>
        <v>33.29043519570381</v>
      </c>
      <c r="E14" s="273">
        <f t="shared" si="1"/>
        <v>-3229743.58</v>
      </c>
    </row>
    <row r="15" spans="1:5" ht="15">
      <c r="A15" s="274" t="s">
        <v>161</v>
      </c>
      <c r="B15" s="275">
        <f>Лист1!B22+Лист2!B15+Лист3!B15+Лист4!B16+Лист5!B16+Лист6!B16+Лист7!B16+Лист8!B16+Лист9!B16+Лист10!B16</f>
        <v>1590000</v>
      </c>
      <c r="C15" s="275">
        <f>Лист1!C22+Лист2!C15+Лист3!C15+Лист4!C16+Лист5!C16+Лист6!C16+Лист7!C16+Лист8!C16+Лист9!C16+Лист10!C16</f>
        <v>1215380.54</v>
      </c>
      <c r="D15" s="272">
        <f t="shared" si="0"/>
        <v>76.43902767295597</v>
      </c>
      <c r="E15" s="273">
        <f t="shared" si="1"/>
        <v>-374619.45999999996</v>
      </c>
    </row>
    <row r="16" spans="1:5" ht="15">
      <c r="A16" s="274" t="s">
        <v>162</v>
      </c>
      <c r="B16" s="275">
        <f>Лист1!B23+Лист2!B16+Лист3!B16+Лист4!B17+Лист5!B17+Лист6!B17+Лист7!B17+Лист8!B17+Лист9!B17+Лист10!B17</f>
        <v>3251500</v>
      </c>
      <c r="C16" s="275">
        <f>Лист1!C23+Лист2!C16+Лист3!C16+Лист4!C17+Лист5!C17+Лист6!C17+Лист7!C17+Лист8!C17+Лист9!C17+Лист10!C17</f>
        <v>396375.87999999995</v>
      </c>
      <c r="D16" s="272">
        <f t="shared" si="0"/>
        <v>12.190554513301551</v>
      </c>
      <c r="E16" s="273">
        <f t="shared" si="1"/>
        <v>-2855124.12</v>
      </c>
    </row>
    <row r="17" spans="1:5" ht="15">
      <c r="A17" s="274" t="s">
        <v>196</v>
      </c>
      <c r="B17" s="276">
        <f>Лист8!B18+Лист5!B18+Лист9!B18+Лист3!B17+Лист4!B18+Лист2!B17+Лист10!B18+Лист1!B24+Лист6!B18</f>
        <v>4400</v>
      </c>
      <c r="C17" s="276">
        <f>Лист8!C18+Лист5!C18+Лист9!C18+Лист3!C17+Лист4!C18+Лист2!C17+Лист10!C18+Лист1!C24+Лист6!C18</f>
        <v>11363</v>
      </c>
      <c r="D17" s="272">
        <f>IF(B17=0,"   ",C17/B17*100)</f>
        <v>258.25</v>
      </c>
      <c r="E17" s="273">
        <f>C17-B17</f>
        <v>6963</v>
      </c>
    </row>
    <row r="18" spans="1:5" ht="28.5" customHeight="1">
      <c r="A18" s="274" t="s">
        <v>93</v>
      </c>
      <c r="B18" s="276">
        <f>Лист1!B25+Лист2!B18+Лист3!B18+Лист4!B19+Лист5!B19+Лист6!B19+Лист7!B18+Лист8!B19+Лист9!B19+Лист10!B19</f>
        <v>0</v>
      </c>
      <c r="C18" s="276">
        <f>Лист1!C25+Лист2!C18+Лист3!C18+Лист4!C19+Лист5!C19+Лист6!C19+Лист7!C18+Лист8!C19+Лист9!C19+Лист10!C19</f>
        <v>0</v>
      </c>
      <c r="D18" s="272" t="str">
        <f t="shared" si="0"/>
        <v>   </v>
      </c>
      <c r="E18" s="273">
        <f t="shared" si="1"/>
        <v>0</v>
      </c>
    </row>
    <row r="19" spans="1:5" ht="46.5" customHeight="1">
      <c r="A19" s="274" t="s">
        <v>28</v>
      </c>
      <c r="B19" s="275">
        <f>SUM(B20:B25)</f>
        <v>3119500</v>
      </c>
      <c r="C19" s="275">
        <f>SUM(C20:C25)</f>
        <v>1029645.2399999999</v>
      </c>
      <c r="D19" s="272">
        <f t="shared" si="0"/>
        <v>33.0067395415932</v>
      </c>
      <c r="E19" s="273">
        <f t="shared" si="1"/>
        <v>-2089854.7600000002</v>
      </c>
    </row>
    <row r="20" spans="1:5" ht="15">
      <c r="A20" s="274" t="s">
        <v>153</v>
      </c>
      <c r="B20" s="275">
        <f>Лист7!B20</f>
        <v>1180000</v>
      </c>
      <c r="C20" s="275">
        <f>Лист7!C20</f>
        <v>296670.49</v>
      </c>
      <c r="D20" s="272">
        <f t="shared" si="0"/>
        <v>25.141566949152544</v>
      </c>
      <c r="E20" s="273">
        <f t="shared" si="1"/>
        <v>-883329.51</v>
      </c>
    </row>
    <row r="21" spans="1:5" ht="15">
      <c r="A21" s="274" t="s">
        <v>139</v>
      </c>
      <c r="B21" s="275">
        <f>Лист1!B27+Лист2!B23+Лист3!B20+Лист4!B21+Лист5!B21+Лист6!B21+Лист7!B21+Лист8!B21+Лист9!B22+Лист10!B23</f>
        <v>1240800</v>
      </c>
      <c r="C21" s="275">
        <f>Лист1!C27+Лист2!C23+Лист3!C20+Лист4!C21+Лист5!C21+Лист6!C21+Лист7!C21+Лист8!C21+Лист9!C22+Лист10!C23</f>
        <v>507087.88999999996</v>
      </c>
      <c r="D21" s="272">
        <f t="shared" si="0"/>
        <v>40.86781834300451</v>
      </c>
      <c r="E21" s="273">
        <f t="shared" si="1"/>
        <v>-733712.1100000001</v>
      </c>
    </row>
    <row r="22" spans="1:5" ht="33" customHeight="1">
      <c r="A22" s="274" t="s">
        <v>30</v>
      </c>
      <c r="B22" s="275">
        <f>Лист1!B28+Лист2!B24+Лист3!B21+Лист4!B22+Лист5!B22+Лист6!B22+Лист7!B22+Лист8!B22+Лист9!B23+Лист10!B21</f>
        <v>180700</v>
      </c>
      <c r="C22" s="275">
        <f>Лист1!C28+Лист2!C24+Лист3!C21+Лист4!C22+Лист5!C22+Лист6!C22+Лист7!C22+Лист8!C22+Лист9!C23+Лист10!C21</f>
        <v>127926.95</v>
      </c>
      <c r="D22" s="272">
        <f t="shared" si="0"/>
        <v>70.79521306032098</v>
      </c>
      <c r="E22" s="273">
        <f t="shared" si="1"/>
        <v>-52773.05</v>
      </c>
    </row>
    <row r="23" spans="1:5" ht="33" customHeight="1">
      <c r="A23" s="274" t="s">
        <v>272</v>
      </c>
      <c r="B23" s="275">
        <f>Лист8!B23+Лист10!B22</f>
        <v>6600</v>
      </c>
      <c r="C23" s="275">
        <f>Лист8!C23+Лист10!C22</f>
        <v>6658.6</v>
      </c>
      <c r="D23" s="272">
        <f>IF(B23=0,"   ",C23/B23*100)</f>
        <v>100.88787878787879</v>
      </c>
      <c r="E23" s="273">
        <f>C23-B23</f>
        <v>58.600000000000364</v>
      </c>
    </row>
    <row r="24" spans="1:5" ht="73.5" customHeight="1">
      <c r="A24" s="274" t="s">
        <v>201</v>
      </c>
      <c r="B24" s="275">
        <f>Лист7!B23</f>
        <v>485700</v>
      </c>
      <c r="C24" s="275">
        <f>Лист7!C23</f>
        <v>72995.51</v>
      </c>
      <c r="D24" s="272">
        <f>IF(B24=0,"   ",C24/B24*100)</f>
        <v>15.02892938027589</v>
      </c>
      <c r="E24" s="273">
        <f>C24-B24</f>
        <v>-412704.49</v>
      </c>
    </row>
    <row r="25" spans="1:5" ht="72" customHeight="1">
      <c r="A25" s="274" t="s">
        <v>226</v>
      </c>
      <c r="B25" s="275">
        <f>Лист1!B29+Лист9!B24</f>
        <v>25700</v>
      </c>
      <c r="C25" s="275">
        <f>Лист1!C29+Лист9!C24</f>
        <v>18305.8</v>
      </c>
      <c r="D25" s="272">
        <f>IF(B25=0,"   ",C25/B25*100)</f>
        <v>71.22879377431907</v>
      </c>
      <c r="E25" s="273">
        <f>C25-B25</f>
        <v>-7394.200000000001</v>
      </c>
    </row>
    <row r="26" spans="1:5" ht="30.75" customHeight="1">
      <c r="A26" s="274" t="s">
        <v>83</v>
      </c>
      <c r="B26" s="275">
        <f>SUM(B28,B27)</f>
        <v>46100</v>
      </c>
      <c r="C26" s="275">
        <f>SUM(C28,C27)</f>
        <v>67986.53</v>
      </c>
      <c r="D26" s="272">
        <f t="shared" si="0"/>
        <v>147.47620390455532</v>
      </c>
      <c r="E26" s="273">
        <f t="shared" si="1"/>
        <v>21886.53</v>
      </c>
    </row>
    <row r="27" spans="1:5" ht="16.5" customHeight="1">
      <c r="A27" s="274" t="s">
        <v>175</v>
      </c>
      <c r="B27" s="275">
        <f>Лист2!B26</f>
        <v>0</v>
      </c>
      <c r="C27" s="275">
        <f>Лист2!C26</f>
        <v>0</v>
      </c>
      <c r="D27" s="272"/>
      <c r="E27" s="273">
        <f t="shared" si="1"/>
        <v>0</v>
      </c>
    </row>
    <row r="28" spans="1:5" ht="44.25" customHeight="1">
      <c r="A28" s="274" t="s">
        <v>84</v>
      </c>
      <c r="B28" s="275">
        <f>Лист4!B23+Лист9!B25+Лист7!B24+Лист1!B30</f>
        <v>46100</v>
      </c>
      <c r="C28" s="275">
        <f>Лист4!C23+Лист9!C25+Лист7!C24+Лист1!C30</f>
        <v>67986.53</v>
      </c>
      <c r="D28" s="272">
        <f t="shared" si="0"/>
        <v>147.47620390455532</v>
      </c>
      <c r="E28" s="273">
        <f t="shared" si="1"/>
        <v>21886.53</v>
      </c>
    </row>
    <row r="29" spans="1:5" ht="31.5" customHeight="1">
      <c r="A29" s="274" t="s">
        <v>76</v>
      </c>
      <c r="B29" s="275">
        <f>SUM(B31+B30+B32)</f>
        <v>3496800</v>
      </c>
      <c r="C29" s="275">
        <f>SUM(C31+C30+C32)</f>
        <v>458880.22</v>
      </c>
      <c r="D29" s="272">
        <f t="shared" si="0"/>
        <v>13.122861473347058</v>
      </c>
      <c r="E29" s="273">
        <f t="shared" si="1"/>
        <v>-3037919.7800000003</v>
      </c>
    </row>
    <row r="30" spans="1:5" ht="30.75" customHeight="1">
      <c r="A30" s="274" t="s">
        <v>134</v>
      </c>
      <c r="B30" s="275">
        <f>Лист7!B26</f>
        <v>3468800</v>
      </c>
      <c r="C30" s="275">
        <f>Лист1!C32</f>
        <v>13580</v>
      </c>
      <c r="D30" s="272">
        <f t="shared" si="0"/>
        <v>0.39148985239852396</v>
      </c>
      <c r="E30" s="273">
        <f t="shared" si="1"/>
        <v>-3455220</v>
      </c>
    </row>
    <row r="31" spans="1:5" ht="42" customHeight="1">
      <c r="A31" s="274" t="s">
        <v>227</v>
      </c>
      <c r="B31" s="275">
        <f>Лист7!B27</f>
        <v>28000</v>
      </c>
      <c r="C31" s="275">
        <f>Лист7!C27</f>
        <v>428562.22</v>
      </c>
      <c r="D31" s="272">
        <f t="shared" si="0"/>
        <v>1530.579357142857</v>
      </c>
      <c r="E31" s="273">
        <f t="shared" si="1"/>
        <v>400562.22</v>
      </c>
    </row>
    <row r="32" spans="1:5" ht="46.5" customHeight="1">
      <c r="A32" s="274" t="s">
        <v>228</v>
      </c>
      <c r="B32" s="275">
        <v>0</v>
      </c>
      <c r="C32" s="275">
        <f>Лист1!C33+Лист2!C21+Лист3!C24+Лист4!C25+Лист6!C25+Лист8!C26+Лист9!C28+Лист10!C26</f>
        <v>16738</v>
      </c>
      <c r="D32" s="272" t="str">
        <f t="shared" si="0"/>
        <v>   </v>
      </c>
      <c r="E32" s="273">
        <f t="shared" si="1"/>
        <v>16738</v>
      </c>
    </row>
    <row r="33" spans="1:5" ht="15">
      <c r="A33" s="274" t="s">
        <v>31</v>
      </c>
      <c r="B33" s="275">
        <f>Лист1!B34+Лист2!B27+Лист5!B28+Лист7!B28+Лист6!B26</f>
        <v>0</v>
      </c>
      <c r="C33" s="275">
        <f>Лист1!C34+Лист2!C27+Лист5!C28+Лист7!C28+Лист6!C26+Лист8!C30</f>
        <v>0</v>
      </c>
      <c r="D33" s="272" t="str">
        <f t="shared" si="0"/>
        <v>   </v>
      </c>
      <c r="E33" s="273">
        <f t="shared" si="1"/>
        <v>0</v>
      </c>
    </row>
    <row r="34" spans="1:5" ht="15">
      <c r="A34" s="274" t="s">
        <v>32</v>
      </c>
      <c r="B34" s="275">
        <f>B35+B36</f>
        <v>0</v>
      </c>
      <c r="C34" s="275">
        <f>C35+C36</f>
        <v>-47079.7</v>
      </c>
      <c r="D34" s="272" t="str">
        <f t="shared" si="0"/>
        <v>   </v>
      </c>
      <c r="E34" s="273">
        <f t="shared" si="1"/>
        <v>-47079.7</v>
      </c>
    </row>
    <row r="35" spans="1:5" ht="15">
      <c r="A35" s="274" t="s">
        <v>46</v>
      </c>
      <c r="B35" s="275">
        <v>0</v>
      </c>
      <c r="C35" s="275">
        <f>Лист1!C38+Лист2!C29+Лист4!C27+Лист6!C28+Лист7!C30+Лист8!C28+Лист9!C31+Лист3!C27+Лист10!C28+Лист5!C27</f>
        <v>-47079.7</v>
      </c>
      <c r="D35" s="272"/>
      <c r="E35" s="273">
        <f t="shared" si="1"/>
        <v>-47079.7</v>
      </c>
    </row>
    <row r="36" spans="1:5" ht="15">
      <c r="A36" s="274" t="s">
        <v>50</v>
      </c>
      <c r="B36" s="275">
        <f>Лист1!B39+Лист2!B30+Лист3!B28+Лист4!B28+Лист5!B27+Лист6!B29+Лист7!B31+Лист8!B29+Лист9!B32+Лист10!B29</f>
        <v>0</v>
      </c>
      <c r="C36" s="275">
        <f>Лист1!C39+Лист2!C30+Лист3!C28+Лист4!C28+Лист6!C29+Лист7!C31+Лист8!C29+Лист9!C32+Лист10!C29</f>
        <v>0</v>
      </c>
      <c r="D36" s="272" t="str">
        <f>IF(B36=0,"   ",C36/B36*100)</f>
        <v>   </v>
      </c>
      <c r="E36" s="273">
        <f t="shared" si="1"/>
        <v>0</v>
      </c>
    </row>
    <row r="37" spans="1:5" ht="18" customHeight="1">
      <c r="A37" s="277" t="s">
        <v>10</v>
      </c>
      <c r="B37" s="278">
        <f>SUM(B6,B8,B10,B12,B18,B19,B26,B29,B34,+B33+B17)</f>
        <v>35028200</v>
      </c>
      <c r="C37" s="278">
        <f>SUM(C6,C8,C10,C12,C18,C19,C26,C29,C34,+C33+C17)</f>
        <v>15196143.84</v>
      </c>
      <c r="D37" s="279">
        <f>IF(B37=0,"   ",C37/B37*100)</f>
        <v>43.382599848122375</v>
      </c>
      <c r="E37" s="280">
        <f t="shared" si="1"/>
        <v>-19832056.16</v>
      </c>
    </row>
    <row r="38" spans="1:5" ht="33" customHeight="1">
      <c r="A38" s="270" t="s">
        <v>34</v>
      </c>
      <c r="B38" s="271">
        <f>Лист1!B44+Лист2!B33+Лист3!B32+Лист4!B32+Лист5!B31+Лист6!B32+Лист7!B34+Лист8!B33+Лист9!B35+Лист10!B32</f>
        <v>16806300</v>
      </c>
      <c r="C38" s="271">
        <f>Лист1!C44+Лист2!C33+Лист3!C32+Лист4!C32+Лист5!C31+Лист6!C32+Лист7!C34+Лист8!C33+Лист9!C35+Лист10!C32</f>
        <v>11193125</v>
      </c>
      <c r="D38" s="272">
        <f>IF(B38=0,"   ",C38/B38*100)</f>
        <v>66.6007687593343</v>
      </c>
      <c r="E38" s="273">
        <f t="shared" si="1"/>
        <v>-5613175</v>
      </c>
    </row>
    <row r="39" spans="1:5" ht="33" customHeight="1">
      <c r="A39" s="270" t="s">
        <v>229</v>
      </c>
      <c r="B39" s="271">
        <f>Лист1!B45+Лист2!B34+Лист3!B33+Лист4!B33+Лист5!B32+Лист6!B33+Лист7!B35+Лист8!B34+Лист9!B36+Лист10!B33</f>
        <v>0</v>
      </c>
      <c r="C39" s="271">
        <f>Лист1!C45+Лист2!C34+Лист3!C33+Лист4!C33+Лист5!C32+Лист6!C33+Лист7!C35+Лист8!C34+Лист9!C36+Лист10!C33</f>
        <v>0</v>
      </c>
      <c r="D39" s="272" t="str">
        <f>IF(B39=0,"   ",C39/B39*100)</f>
        <v>   </v>
      </c>
      <c r="E39" s="273">
        <f>C39-B39</f>
        <v>0</v>
      </c>
    </row>
    <row r="40" spans="1:5" ht="15">
      <c r="A40" s="281" t="s">
        <v>115</v>
      </c>
      <c r="B40" s="271">
        <f>SUM(B42:B48)</f>
        <v>73148044.7</v>
      </c>
      <c r="C40" s="271">
        <f>SUM(C42:C48)</f>
        <v>10349403.329999998</v>
      </c>
      <c r="D40" s="272">
        <f>IF(B40=0,"   ",C40/B40*100)</f>
        <v>14.14857139715178</v>
      </c>
      <c r="E40" s="273">
        <f t="shared" si="1"/>
        <v>-62798641.370000005</v>
      </c>
    </row>
    <row r="41" spans="1:5" ht="15">
      <c r="A41" s="270" t="s">
        <v>116</v>
      </c>
      <c r="B41" s="271"/>
      <c r="C41" s="271"/>
      <c r="D41" s="272"/>
      <c r="E41" s="273"/>
    </row>
    <row r="42" spans="1:5" ht="33" customHeight="1">
      <c r="A42" s="274" t="s">
        <v>239</v>
      </c>
      <c r="B42" s="275">
        <v>0</v>
      </c>
      <c r="C42" s="275">
        <f>Лист2!C43</f>
        <v>0</v>
      </c>
      <c r="D42" s="272" t="str">
        <f>IF(B42=0,"   ",C42/B42*100)</f>
        <v>   </v>
      </c>
      <c r="E42" s="273">
        <f>C42-B42</f>
        <v>0</v>
      </c>
    </row>
    <row r="43" spans="1:5" ht="45" customHeight="1">
      <c r="A43" s="274" t="s">
        <v>179</v>
      </c>
      <c r="B43" s="282">
        <v>0</v>
      </c>
      <c r="C43" s="282">
        <v>0</v>
      </c>
      <c r="D43" s="283" t="str">
        <f>IF(B43=0,"   ",C43/B43)</f>
        <v>   </v>
      </c>
      <c r="E43" s="284">
        <f>C43-B43</f>
        <v>0</v>
      </c>
    </row>
    <row r="44" spans="1:5" ht="110.25" customHeight="1">
      <c r="A44" s="274" t="s">
        <v>238</v>
      </c>
      <c r="B44" s="275">
        <f>Лист1!B52+Лист2!B42+Лист3!B40+Лист4!B40+Лист5!B37+Лист6!B38+Лист7!B44+Лист8!B41+Лист9!B41+Лист10!B38</f>
        <v>6600100</v>
      </c>
      <c r="C44" s="275">
        <f>Лист1!C52+Лист2!C42+Лист3!C40+Лист4!C40+Лист5!C37+Лист6!C38+Лист7!C44+Лист8!C41+Лист9!C41+Лист10!C38</f>
        <v>5494532.1</v>
      </c>
      <c r="D44" s="272">
        <f>IF(B44=0,"   ",C44/B44*100)</f>
        <v>83.24922501174224</v>
      </c>
      <c r="E44" s="273">
        <f>C44-B44</f>
        <v>-1105567.9000000004</v>
      </c>
    </row>
    <row r="45" spans="1:5" ht="106.5" customHeight="1">
      <c r="A45" s="274" t="s">
        <v>240</v>
      </c>
      <c r="B45" s="275">
        <f>Лист7!B45</f>
        <v>1612800</v>
      </c>
      <c r="C45" s="275">
        <f>Лист7!C45</f>
        <v>1103789.8</v>
      </c>
      <c r="D45" s="272">
        <f>IF(B45=0,"   ",C45/B45*100)</f>
        <v>68.43934771825397</v>
      </c>
      <c r="E45" s="273">
        <f>C45-B45</f>
        <v>-509010.19999999995</v>
      </c>
    </row>
    <row r="46" spans="1:5" ht="60" customHeight="1">
      <c r="A46" s="274" t="s">
        <v>266</v>
      </c>
      <c r="B46" s="275">
        <v>0</v>
      </c>
      <c r="C46" s="275">
        <f>Лист7!C46</f>
        <v>1329696.43</v>
      </c>
      <c r="D46" s="272"/>
      <c r="E46" s="273"/>
    </row>
    <row r="47" spans="1:5" ht="49.5" customHeight="1">
      <c r="A47" s="274" t="s">
        <v>279</v>
      </c>
      <c r="B47" s="275">
        <f>Лист2!B43+Лист4!B41+Лист9!B42</f>
        <v>0</v>
      </c>
      <c r="C47" s="275">
        <f>Лист2!C43+Лист4!C41+Лист9!C42</f>
        <v>0</v>
      </c>
      <c r="D47" s="272"/>
      <c r="E47" s="273"/>
    </row>
    <row r="48" spans="1:5" ht="15">
      <c r="A48" s="274" t="s">
        <v>106</v>
      </c>
      <c r="B48" s="275">
        <f>SUM(B50:B54)</f>
        <v>64935144.7</v>
      </c>
      <c r="C48" s="275">
        <f>SUM(C50:C54)</f>
        <v>2421385</v>
      </c>
      <c r="D48" s="272">
        <f>IF(B48=0,"   ",C48/B48*100)</f>
        <v>3.728928319459031</v>
      </c>
      <c r="E48" s="273">
        <f>C48-B48</f>
        <v>-62513759.7</v>
      </c>
    </row>
    <row r="49" spans="1:5" ht="15">
      <c r="A49" s="274" t="s">
        <v>117</v>
      </c>
      <c r="B49" s="275"/>
      <c r="C49" s="275"/>
      <c r="D49" s="272"/>
      <c r="E49" s="273"/>
    </row>
    <row r="50" spans="1:5" ht="46.5">
      <c r="A50" s="274" t="s">
        <v>221</v>
      </c>
      <c r="B50" s="275">
        <f>Лист1!B55</f>
        <v>328200</v>
      </c>
      <c r="C50" s="275">
        <v>0</v>
      </c>
      <c r="D50" s="272">
        <f>IF(B50=0,"   ",C50/B50*100)</f>
        <v>0</v>
      </c>
      <c r="E50" s="273">
        <f>C50-B50</f>
        <v>-328200</v>
      </c>
    </row>
    <row r="51" spans="1:5" ht="51.75" customHeight="1">
      <c r="A51" s="274" t="s">
        <v>220</v>
      </c>
      <c r="B51" s="275">
        <f>Лист1!B54+Лист2!B45+Лист3!B42+Лист4!B43+Лист5!B41+Лист6!B42+Лист7!B48+Лист8!B43+Лист9!B44+Лист10!B40</f>
        <v>2805900</v>
      </c>
      <c r="C51" s="275">
        <f>Лист1!C54+Лист2!C45+Лист3!C42+Лист4!C43+Лист5!C41+Лист6!C42+Лист7!C48+Лист8!C43+Лист9!C44+Лист10!C40</f>
        <v>0</v>
      </c>
      <c r="D51" s="275">
        <f>Лист7!D48</f>
        <v>0</v>
      </c>
      <c r="E51" s="273">
        <f>C51-B51</f>
        <v>-2805900</v>
      </c>
    </row>
    <row r="52" spans="1:5" ht="48" customHeight="1">
      <c r="A52" s="274" t="s">
        <v>281</v>
      </c>
      <c r="B52" s="275">
        <f>Лист7!B49</f>
        <v>39181634.7</v>
      </c>
      <c r="C52" s="275">
        <f>Лист7!C49</f>
        <v>0</v>
      </c>
      <c r="D52" s="275">
        <f>Лист7!D49</f>
        <v>0</v>
      </c>
      <c r="E52" s="275">
        <f>Лист7!E49</f>
        <v>-39181634.7</v>
      </c>
    </row>
    <row r="53" spans="1:5" ht="32.25" customHeight="1">
      <c r="A53" s="274" t="s">
        <v>300</v>
      </c>
      <c r="B53" s="275">
        <f>Лист1!B56+Лист2!B46+Лист3!B43+Лист5!B40+Лист6!B41+Лист7!B50+Лист8!B44+Лист9!B45+Лист10!B41</f>
        <v>17992710</v>
      </c>
      <c r="C53" s="275">
        <f>Лист1!C56+Лист2!C46+Лист3!C43+Лист5!C40+Лист6!C41+Лист7!C50+Лист8!C44+Лист9!C45+Лист10!C41</f>
        <v>0</v>
      </c>
      <c r="D53" s="275">
        <f>Лист7!D50</f>
        <v>0</v>
      </c>
      <c r="E53" s="273">
        <f>C53-B53</f>
        <v>-17992710</v>
      </c>
    </row>
    <row r="54" spans="1:5" s="59" customFormat="1" ht="48" customHeight="1">
      <c r="A54" s="274" t="s">
        <v>118</v>
      </c>
      <c r="B54" s="275">
        <f>Лист1!B57+Лист2!B47+Лист3!B44+Лист4!B44+Лист5!B39+Лист6!B40+Лист7!B51+Лист8!B45+Лист9!B46+Лист10!B42</f>
        <v>4626700</v>
      </c>
      <c r="C54" s="275">
        <f>Лист1!C57+Лист2!C47+Лист3!C44+Лист4!C44+Лист5!C39+Лист6!C40+Лист7!C51+Лист8!C45+Лист9!C46+Лист10!C42</f>
        <v>2421385</v>
      </c>
      <c r="D54" s="272">
        <f>IF(B54=0,"   ",C54/B54*100)</f>
        <v>52.335033609267946</v>
      </c>
      <c r="E54" s="273">
        <f>C54-B54</f>
        <v>-2205315</v>
      </c>
    </row>
    <row r="55" spans="1:5" s="59" customFormat="1" ht="15">
      <c r="A55" s="281" t="s">
        <v>19</v>
      </c>
      <c r="B55" s="275">
        <f>B57+B58</f>
        <v>1391100</v>
      </c>
      <c r="C55" s="275">
        <f>C57+C58</f>
        <v>842700</v>
      </c>
      <c r="D55" s="272">
        <f>IF(B55=0,"   ",C55/B55*100)</f>
        <v>60.57795988785853</v>
      </c>
      <c r="E55" s="273">
        <f>C55-B55</f>
        <v>-548400</v>
      </c>
    </row>
    <row r="56" spans="1:5" ht="15">
      <c r="A56" s="270" t="s">
        <v>116</v>
      </c>
      <c r="B56" s="271"/>
      <c r="C56" s="271"/>
      <c r="D56" s="272"/>
      <c r="E56" s="273"/>
    </row>
    <row r="57" spans="1:5" ht="63.75" customHeight="1">
      <c r="A57" s="285" t="s">
        <v>51</v>
      </c>
      <c r="B57" s="286">
        <f>Лист1!B46+Лист2!B36+Лист3!B34+Лист4!B34+Лист5!B33+Лист6!B34+Лист7!B36+Лист8!B35+Лист9!B37+Лист10!B34</f>
        <v>1264800</v>
      </c>
      <c r="C57" s="286">
        <f>Лист1!C46+Лист2!C36+Лист3!C34+Лист4!C34+Лист5!C33+Лист6!C34+Лист7!C36+Лист8!C35+Лист9!C37+Лист10!C34</f>
        <v>842000</v>
      </c>
      <c r="D57" s="287">
        <f>IF(B57=0,"   ",C57/B57*100)</f>
        <v>66.57179000632512</v>
      </c>
      <c r="E57" s="288">
        <f>C57-B57</f>
        <v>-422800</v>
      </c>
    </row>
    <row r="58" spans="1:5" ht="45" customHeight="1">
      <c r="A58" s="285" t="s">
        <v>148</v>
      </c>
      <c r="B58" s="286">
        <f>Лист1!B47+Лист2!B37+Лист3!B35+Лист4!B35+Лист5!B34+Лист6!B35+Лист7!B37+Лист8!B36+Лист9!B38+Лист10!B35</f>
        <v>126300</v>
      </c>
      <c r="C58" s="286">
        <f>Лист1!C47+Лист2!C37+Лист3!C35+Лист4!C35+Лист5!C34+Лист6!C35+Лист7!C37+Лист8!C36+Лист9!C38+Лист10!C35</f>
        <v>700</v>
      </c>
      <c r="D58" s="287">
        <f>IF(B58=0,"   ",C58/B58*100)</f>
        <v>0.5542359461599367</v>
      </c>
      <c r="E58" s="288">
        <f>C58-B58</f>
        <v>-125600</v>
      </c>
    </row>
    <row r="59" spans="1:5" ht="27.75" customHeight="1">
      <c r="A59" s="285" t="s">
        <v>163</v>
      </c>
      <c r="B59" s="286">
        <f>Лист1!B48+Лист2!B38+Лист3!B36+Лист4!B36+Лист5!B35+Лист6!B36+Лист7!B38+Лист8!B37+Лист9!B39+Лист10!B36</f>
        <v>1400</v>
      </c>
      <c r="C59" s="286">
        <f>Лист1!C48+Лист2!C38+Лист3!C36+Лист4!C36+Лист5!C35+Лист6!C36+Лист7!C38+Лист8!C37+Лист9!C39+Лист10!C36</f>
        <v>700</v>
      </c>
      <c r="D59" s="287">
        <f>IF(B59=0,"   ",C59/B59*100)</f>
        <v>50</v>
      </c>
      <c r="E59" s="288">
        <f>C59-B59</f>
        <v>-700</v>
      </c>
    </row>
    <row r="60" spans="1:5" ht="47.25" customHeight="1">
      <c r="A60" s="285" t="s">
        <v>164</v>
      </c>
      <c r="B60" s="286">
        <f>Лист1!B49+Лист2!B39+Лист3!B37+Лист4!B37+Лист5!B36+Лист6!B37+Лист7!B39+Лист8!B38+Лист9!B40+Лист10!B37</f>
        <v>124900</v>
      </c>
      <c r="C60" s="286">
        <f>Лист1!C49+Лист2!C39+Лист3!C37+Лист4!C37+Лист5!C36+Лист6!C37+Лист7!C39+Лист8!C38+Лист9!C40+Лист10!C37</f>
        <v>0</v>
      </c>
      <c r="D60" s="287">
        <f>IF(B60=0,"   ",C60/B60*100)</f>
        <v>0</v>
      </c>
      <c r="E60" s="288">
        <f>C60-B60</f>
        <v>-124900</v>
      </c>
    </row>
    <row r="61" spans="1:5" ht="15">
      <c r="A61" s="281" t="s">
        <v>119</v>
      </c>
      <c r="B61" s="275">
        <f>B63+B67+B64+B66+B65</f>
        <v>22217969.240000002</v>
      </c>
      <c r="C61" s="275">
        <f>C63+C67+C64+C66+C65</f>
        <v>280000</v>
      </c>
      <c r="D61" s="272">
        <f>IF(B61=0,"   ",C61/B61*100)</f>
        <v>1.2602411902520034</v>
      </c>
      <c r="E61" s="273">
        <f t="shared" si="1"/>
        <v>-21937969.240000002</v>
      </c>
    </row>
    <row r="62" spans="1:5" ht="15">
      <c r="A62" s="270" t="s">
        <v>116</v>
      </c>
      <c r="B62" s="271"/>
      <c r="C62" s="271"/>
      <c r="D62" s="272"/>
      <c r="E62" s="273"/>
    </row>
    <row r="63" spans="1:5" ht="115.5" customHeight="1">
      <c r="A63" s="274" t="s">
        <v>271</v>
      </c>
      <c r="B63" s="275">
        <f>Лист7!B46</f>
        <v>6082988.39</v>
      </c>
      <c r="C63" s="286">
        <f>Лист1!C50+Лист2!C40+Лист3!C38+Лист4!C38+Лист5!C42+Лист6!C44+Лист7!C40+Лист8!C39+Лист9!C47+Лист10!C44</f>
        <v>0</v>
      </c>
      <c r="D63" s="272">
        <f aca="true" t="shared" si="2" ref="D63:D96">IF(B63=0,"   ",C63/B63*100)</f>
        <v>0</v>
      </c>
      <c r="E63" s="273">
        <f aca="true" t="shared" si="3" ref="E63:E68">C63-B63</f>
        <v>-6082988.39</v>
      </c>
    </row>
    <row r="64" spans="1:5" ht="111.75" customHeight="1">
      <c r="A64" s="274" t="s">
        <v>270</v>
      </c>
      <c r="B64" s="282">
        <f>Лист7!B43</f>
        <v>6213445.91</v>
      </c>
      <c r="C64" s="282">
        <f>Лист7!C43</f>
        <v>0</v>
      </c>
      <c r="D64" s="272">
        <f>IF(B64=0,"   ",C64/B64*100)</f>
        <v>0</v>
      </c>
      <c r="E64" s="273">
        <f t="shared" si="3"/>
        <v>-6213445.91</v>
      </c>
    </row>
    <row r="65" spans="1:5" ht="63" customHeight="1">
      <c r="A65" s="16" t="s">
        <v>321</v>
      </c>
      <c r="B65" s="286">
        <f>Лист2!B40+Лист4!B38+Лист9!B47</f>
        <v>1541534.94</v>
      </c>
      <c r="C65" s="286">
        <f>Лист2!C40+Лист4!C38+Лист9!C47</f>
        <v>0</v>
      </c>
      <c r="D65" s="272">
        <f>IF(B65=0,"   ",C65/B65*100)</f>
        <v>0</v>
      </c>
      <c r="E65" s="273">
        <f t="shared" si="3"/>
        <v>-1541534.94</v>
      </c>
    </row>
    <row r="66" spans="1:5" ht="50.25" customHeight="1">
      <c r="A66" s="41" t="s">
        <v>299</v>
      </c>
      <c r="B66" s="282">
        <f>Лист7!B42</f>
        <v>280000</v>
      </c>
      <c r="C66" s="282">
        <f>Лист7!C42</f>
        <v>280000</v>
      </c>
      <c r="D66" s="272">
        <f>IF(B66=0,"   ",C66/B66*100)</f>
        <v>100</v>
      </c>
      <c r="E66" s="273">
        <f t="shared" si="3"/>
        <v>0</v>
      </c>
    </row>
    <row r="67" spans="1:5" ht="33" customHeight="1">
      <c r="A67" s="274" t="s">
        <v>170</v>
      </c>
      <c r="B67" s="286">
        <f>Лист1!B51+Лист2!B41+Лист3!B39+Лист6!B43+Лист8!B40+Лист10!B43+Лист4!B39+Лист5!B43+Лист7!B41+Лист9!B48</f>
        <v>8100000</v>
      </c>
      <c r="C67" s="286">
        <f>Лист1!C51+Лист2!C41+Лист3!C39+Лист6!C43+Лист8!C40+Лист10!C43+Лист4!C39+Лист5!C43+Лист7!C41+Лист9!C48</f>
        <v>0</v>
      </c>
      <c r="D67" s="272">
        <f t="shared" si="2"/>
        <v>0</v>
      </c>
      <c r="E67" s="273">
        <f t="shared" si="3"/>
        <v>-8100000</v>
      </c>
    </row>
    <row r="68" spans="1:5" ht="21" customHeight="1">
      <c r="A68" s="277" t="s">
        <v>186</v>
      </c>
      <c r="B68" s="275">
        <f>Лист1!B58+Лист2!B48+Лист3!B45+Лист4!B45+Лист5!B44+Лист6!B45+Лист7!B52+Лист8!B46+Лист9!B49+Лист10!B45</f>
        <v>1156318.9500000002</v>
      </c>
      <c r="C68" s="275">
        <f>Лист1!C58+Лист2!C48+Лист3!C45+Лист4!C45+Лист5!C44+Лист6!C45+Лист7!C52+Лист8!C46+Лист9!C49+Лист10!C45</f>
        <v>700618.28</v>
      </c>
      <c r="D68" s="272">
        <f>IF(B68=0,"   ",C68/B68*100)</f>
        <v>60.59040025245629</v>
      </c>
      <c r="E68" s="273">
        <f t="shared" si="3"/>
        <v>-455700.67000000016</v>
      </c>
    </row>
    <row r="69" spans="1:5" ht="15">
      <c r="A69" s="277" t="s">
        <v>104</v>
      </c>
      <c r="B69" s="278">
        <f>B38+B40+B55+B61+B68+B39</f>
        <v>114719732.89</v>
      </c>
      <c r="C69" s="278">
        <f>C38+C40+C55+C61+C68+C39</f>
        <v>23365846.61</v>
      </c>
      <c r="D69" s="279">
        <f t="shared" si="2"/>
        <v>20.367765877213593</v>
      </c>
      <c r="E69" s="280">
        <f aca="true" t="shared" si="4" ref="E69:E112">C69-B69</f>
        <v>-91353886.28</v>
      </c>
    </row>
    <row r="70" spans="1:5" ht="23.25" customHeight="1">
      <c r="A70" s="277" t="s">
        <v>11</v>
      </c>
      <c r="B70" s="278">
        <f>B37+B69</f>
        <v>149747932.89</v>
      </c>
      <c r="C70" s="278">
        <f>C37+C69</f>
        <v>38561990.45</v>
      </c>
      <c r="D70" s="279">
        <f t="shared" si="2"/>
        <v>25.751267283486577</v>
      </c>
      <c r="E70" s="280">
        <f t="shared" si="4"/>
        <v>-111185942.43999998</v>
      </c>
    </row>
    <row r="71" spans="1:5" ht="30.75" hidden="1">
      <c r="A71" s="277" t="s">
        <v>48</v>
      </c>
      <c r="B71" s="275"/>
      <c r="C71" s="275"/>
      <c r="D71" s="272" t="str">
        <f t="shared" si="2"/>
        <v>   </v>
      </c>
      <c r="E71" s="273">
        <f t="shared" si="4"/>
        <v>0</v>
      </c>
    </row>
    <row r="72" spans="1:5" ht="15.75">
      <c r="A72" s="289" t="s">
        <v>12</v>
      </c>
      <c r="B72" s="290"/>
      <c r="C72" s="291"/>
      <c r="D72" s="272" t="str">
        <f t="shared" si="2"/>
        <v>   </v>
      </c>
      <c r="E72" s="273"/>
    </row>
    <row r="73" spans="1:5" ht="15">
      <c r="A73" s="274" t="s">
        <v>35</v>
      </c>
      <c r="B73" s="275">
        <f>Лист1!B61+Лист2!B52+Лист3!B48+Лист4!B48+Лист5!B48+Лист6!B48+Лист7!B56+Лист8!B49+Лист9!B52+Лист10!B49</f>
        <v>14092970.55</v>
      </c>
      <c r="C73" s="275">
        <f>Лист1!C61+Лист2!C52+Лист3!C48+Лист4!C48+Лист5!C48+Лист6!C48+Лист7!C56+Лист8!C49+Лист9!C52+Лист10!C49</f>
        <v>8142024.999999999</v>
      </c>
      <c r="D73" s="272">
        <f t="shared" si="2"/>
        <v>57.77366078438303</v>
      </c>
      <c r="E73" s="273">
        <f t="shared" si="4"/>
        <v>-5950945.550000002</v>
      </c>
    </row>
    <row r="74" spans="1:5" ht="13.5" customHeight="1">
      <c r="A74" s="274" t="s">
        <v>36</v>
      </c>
      <c r="B74" s="275">
        <f>Лист1!B62+Лист2!B53+Лист3!B49+Лист4!B49+Лист5!B49+Лист6!B49+Лист7!B57+Лист8!B50+Лист9!B53+Лист10!B50</f>
        <v>13673300</v>
      </c>
      <c r="C74" s="275">
        <f>Лист1!C62+Лист2!C53+Лист3!C49+Лист4!C49+Лист5!C49+Лист6!C49+Лист7!C57+Лист8!C50+Лист9!C53+Лист10!C50</f>
        <v>7971075.149999999</v>
      </c>
      <c r="D74" s="272">
        <f t="shared" si="2"/>
        <v>58.296644921123644</v>
      </c>
      <c r="E74" s="273">
        <f t="shared" si="4"/>
        <v>-5702224.850000001</v>
      </c>
    </row>
    <row r="75" spans="1:5" ht="15">
      <c r="A75" s="274" t="s">
        <v>121</v>
      </c>
      <c r="B75" s="275">
        <f>Лист1!B63+Лист2!B54+Лист3!B50+Лист4!B50+Лист5!B50+Лист6!B50+Лист7!B58+Лист8!B51+Лист9!B54+Лист10!B51</f>
        <v>8374730</v>
      </c>
      <c r="C75" s="275">
        <f>Лист1!C63+Лист2!C54+Лист3!C50+Лист4!C50+Лист5!C50+Лист6!C50+Лист7!C58+Лист8!C51+Лист9!C54+Лист10!C51</f>
        <v>5350312.44</v>
      </c>
      <c r="D75" s="272">
        <f t="shared" si="2"/>
        <v>63.886387262634145</v>
      </c>
      <c r="E75" s="273">
        <f t="shared" si="4"/>
        <v>-3024417.5599999996</v>
      </c>
    </row>
    <row r="76" spans="1:5" ht="15">
      <c r="A76" s="85" t="s">
        <v>288</v>
      </c>
      <c r="B76" s="275">
        <f>Лист1!B64+Лист2!B55+Лист3!B51+Лист4!B51+Лист5!B51+Лист6!B51+Лист7!B59+Лист8!B52+Лист9!B55+Лист10!B52</f>
        <v>1400</v>
      </c>
      <c r="C76" s="275">
        <f>Лист1!C64+Лист2!C55+Лист3!C51+Лист4!C51+Лист5!C51+Лист6!C51+Лист7!C59+Лист8!C52+Лист9!C55+Лист10!C52</f>
        <v>600</v>
      </c>
      <c r="D76" s="272">
        <f>IF(B76=0,"   ",C76/B76*100)</f>
        <v>42.857142857142854</v>
      </c>
      <c r="E76" s="273">
        <f>C76-B76</f>
        <v>-800</v>
      </c>
    </row>
    <row r="77" spans="1:5" ht="15">
      <c r="A77" s="274" t="s">
        <v>95</v>
      </c>
      <c r="B77" s="275">
        <f>Лист1!B65+Лист2!B56+Лист3!B52+Лист4!B52+Лист5!B52+Лист6!B52+Лист7!B60+Лист8!B53+Лист9!B56+Лист10!B53</f>
        <v>14500</v>
      </c>
      <c r="C77" s="275">
        <f>Лист1!C65+Лист2!C56+Лист3!C52+Лист4!C52+Лист5!C52+Лист6!C52+Лист7!C60+Лист8!C53+Лист9!C56+Лист10!C53</f>
        <v>0</v>
      </c>
      <c r="D77" s="272">
        <f t="shared" si="2"/>
        <v>0</v>
      </c>
      <c r="E77" s="273">
        <f t="shared" si="4"/>
        <v>-14500</v>
      </c>
    </row>
    <row r="78" spans="1:5" ht="15">
      <c r="A78" s="274" t="s">
        <v>52</v>
      </c>
      <c r="B78" s="276">
        <f>SUM(B79:B83)</f>
        <v>405170.55</v>
      </c>
      <c r="C78" s="276">
        <f>SUM(C79:C83)</f>
        <v>170949.85</v>
      </c>
      <c r="D78" s="272">
        <f t="shared" si="2"/>
        <v>42.19207195587143</v>
      </c>
      <c r="E78" s="273">
        <f t="shared" si="4"/>
        <v>-234220.69999999998</v>
      </c>
    </row>
    <row r="79" spans="1:5" ht="30.75">
      <c r="A79" s="292" t="s">
        <v>243</v>
      </c>
      <c r="B79" s="275">
        <f>Лист7!B63</f>
        <v>2000</v>
      </c>
      <c r="C79" s="275">
        <f>Лист7!C63</f>
        <v>0</v>
      </c>
      <c r="D79" s="272">
        <f>IF(B79=0,"   ",C79/B79*100)</f>
        <v>0</v>
      </c>
      <c r="E79" s="273">
        <f>C79-B79</f>
        <v>-2000</v>
      </c>
    </row>
    <row r="80" spans="1:5" ht="47.25" customHeight="1">
      <c r="A80" s="292" t="s">
        <v>244</v>
      </c>
      <c r="B80" s="275">
        <f>Лист3!B54+Лист7!B62+Лист1!B67+Лист2!B58+Лист4!B55+Лист5!B54+Лист6!B54+Лист8!B55+Лист9!B59+Лист10!B55</f>
        <v>194686</v>
      </c>
      <c r="C80" s="275">
        <f>Лист3!C54+Лист7!C62+Лист1!C67+Лист2!C58+Лист4!C55+Лист5!C54+Лист6!C54+Лист8!C55+Лист9!C59+Лист10!C55</f>
        <v>112465.3</v>
      </c>
      <c r="D80" s="272">
        <f>IF(B80=0,"   ",C80/B80*100)</f>
        <v>57.76753336141274</v>
      </c>
      <c r="E80" s="273">
        <f>C80-B80</f>
        <v>-82220.7</v>
      </c>
    </row>
    <row r="81" spans="1:5" ht="26.25" customHeight="1">
      <c r="A81" s="292" t="s">
        <v>323</v>
      </c>
      <c r="B81" s="275">
        <f>Лист3!B55</f>
        <v>0</v>
      </c>
      <c r="C81" s="275">
        <f>Лист3!C55</f>
        <v>0</v>
      </c>
      <c r="D81" s="272" t="str">
        <f t="shared" si="2"/>
        <v>   </v>
      </c>
      <c r="E81" s="273">
        <f>C81-B81</f>
        <v>0</v>
      </c>
    </row>
    <row r="82" spans="1:5" ht="33" customHeight="1">
      <c r="A82" s="292" t="s">
        <v>223</v>
      </c>
      <c r="B82" s="275">
        <f>Лист4!B54+Лист7!B65+Лист5!B55+Лист1!B68</f>
        <v>208484.55</v>
      </c>
      <c r="C82" s="275">
        <f>Лист4!C54+Лист7!C65+Лист5!C55+Лист1!C68</f>
        <v>58484.55</v>
      </c>
      <c r="D82" s="272">
        <f>IF(B82=0,"   ",C82/B82*100)</f>
        <v>28.052222574766333</v>
      </c>
      <c r="E82" s="273">
        <f>C82-B82</f>
        <v>-150000</v>
      </c>
    </row>
    <row r="83" spans="1:5" ht="33" customHeight="1">
      <c r="A83" s="292" t="s">
        <v>249</v>
      </c>
      <c r="B83" s="275">
        <f>Лист7!B64</f>
        <v>0</v>
      </c>
      <c r="C83" s="275">
        <f>Лист7!C64</f>
        <v>0</v>
      </c>
      <c r="D83" s="275" t="str">
        <f>Лист7!D64</f>
        <v>   </v>
      </c>
      <c r="E83" s="275">
        <f>Лист7!E64</f>
        <v>0</v>
      </c>
    </row>
    <row r="84" spans="1:5" ht="15">
      <c r="A84" s="274" t="s">
        <v>49</v>
      </c>
      <c r="B84" s="276">
        <f>SUM(B85)</f>
        <v>1264800</v>
      </c>
      <c r="C84" s="276">
        <f>SUM(C85)</f>
        <v>775486.31</v>
      </c>
      <c r="D84" s="272">
        <f t="shared" si="2"/>
        <v>61.31295936116382</v>
      </c>
      <c r="E84" s="273">
        <f t="shared" si="4"/>
        <v>-489313.68999999994</v>
      </c>
    </row>
    <row r="85" spans="1:5" ht="33" customHeight="1">
      <c r="A85" s="274" t="s">
        <v>107</v>
      </c>
      <c r="B85" s="275">
        <f>Лист1!B70+Лист2!B60+Лист3!B57+Лист4!B57+Лист5!B57+Лист6!B56+Лист7!B67+Лист8!B57+Лист9!B61+Лист10!B57</f>
        <v>1264800</v>
      </c>
      <c r="C85" s="275">
        <f>Лист1!C70+Лист2!C60+Лист3!C57+Лист4!C57+Лист5!C57+Лист6!C56+Лист7!C67+Лист8!C57+Лист9!C61+Лист10!C57</f>
        <v>775486.31</v>
      </c>
      <c r="D85" s="272">
        <f t="shared" si="2"/>
        <v>61.31295936116382</v>
      </c>
      <c r="E85" s="273">
        <f t="shared" si="4"/>
        <v>-489313.68999999994</v>
      </c>
    </row>
    <row r="86" spans="1:5" ht="30.75">
      <c r="A86" s="274" t="s">
        <v>37</v>
      </c>
      <c r="B86" s="275">
        <f>Лист1!B71+Лист2!B61+Лист3!B58+Лист4!B58+Лист5!B58+Лист6!B57+Лист7!B68+Лист8!B58+Лист9!B62+Лист10!B58</f>
        <v>1073600</v>
      </c>
      <c r="C86" s="275">
        <f>Лист1!C71+Лист2!C61+Лист3!C58+Лист4!C58+Лист5!C58+Лист6!C57+Лист7!C68+Лист8!C58+Лист9!C62+Лист10!C58</f>
        <v>434799.58</v>
      </c>
      <c r="D86" s="272">
        <f t="shared" si="2"/>
        <v>40.49921572280179</v>
      </c>
      <c r="E86" s="273">
        <f t="shared" si="4"/>
        <v>-638800.4199999999</v>
      </c>
    </row>
    <row r="87" spans="1:5" ht="45" customHeight="1">
      <c r="A87" s="274" t="s">
        <v>87</v>
      </c>
      <c r="B87" s="276">
        <f>Лист7!B69</f>
        <v>928400</v>
      </c>
      <c r="C87" s="276">
        <f>Лист7!C69</f>
        <v>423599.58</v>
      </c>
      <c r="D87" s="272">
        <f t="shared" si="2"/>
        <v>45.62683972425679</v>
      </c>
      <c r="E87" s="273">
        <f t="shared" si="4"/>
        <v>-504800.42</v>
      </c>
    </row>
    <row r="88" spans="1:5" ht="18.75" customHeight="1">
      <c r="A88" s="274" t="s">
        <v>96</v>
      </c>
      <c r="B88" s="275">
        <f>Лист7!B70</f>
        <v>928400</v>
      </c>
      <c r="C88" s="275">
        <f>Лист7!C70</f>
        <v>423599.58</v>
      </c>
      <c r="D88" s="272">
        <f t="shared" si="2"/>
        <v>45.62683972425679</v>
      </c>
      <c r="E88" s="273">
        <f t="shared" si="4"/>
        <v>-504800.42</v>
      </c>
    </row>
    <row r="89" spans="1:5" ht="15.75" customHeight="1">
      <c r="A89" s="274" t="s">
        <v>121</v>
      </c>
      <c r="B89" s="275">
        <f>Лист7!B71</f>
        <v>687711</v>
      </c>
      <c r="C89" s="275">
        <f>Лист7!C71</f>
        <v>327987.86</v>
      </c>
      <c r="D89" s="272">
        <f t="shared" si="2"/>
        <v>47.69268777146214</v>
      </c>
      <c r="E89" s="273">
        <f t="shared" si="4"/>
        <v>-359723.14</v>
      </c>
    </row>
    <row r="90" spans="1:5" ht="15">
      <c r="A90" s="274" t="s">
        <v>97</v>
      </c>
      <c r="B90" s="275">
        <f>Лист1!B72+Лист2!B62+Лист3!B59+Лист4!B59+Лист5!B59+Лист6!B58+Лист7!B72+Лист8!B59+Лист9!B63+Лист10!B59</f>
        <v>145200</v>
      </c>
      <c r="C90" s="275">
        <f>Лист1!C72+Лист2!C62+Лист3!C59+Лист4!C59+Лист5!C59+Лист6!C58+Лист7!C72+Лист8!C59+Лист9!C63+Лист10!C59</f>
        <v>11200</v>
      </c>
      <c r="D90" s="272">
        <f t="shared" si="2"/>
        <v>7.7134986225895315</v>
      </c>
      <c r="E90" s="273">
        <f t="shared" si="4"/>
        <v>-134000</v>
      </c>
    </row>
    <row r="91" spans="1:5" ht="15">
      <c r="A91" s="274" t="s">
        <v>38</v>
      </c>
      <c r="B91" s="276">
        <f>B99+B94+B114+B97+B92</f>
        <v>23259491.119999997</v>
      </c>
      <c r="C91" s="276">
        <f>C99+C94+C114+C97+C92</f>
        <v>12571313.459999999</v>
      </c>
      <c r="D91" s="272">
        <f t="shared" si="2"/>
        <v>54.04810189157742</v>
      </c>
      <c r="E91" s="273">
        <f t="shared" si="4"/>
        <v>-10688177.659999998</v>
      </c>
    </row>
    <row r="92" spans="1:5" ht="15">
      <c r="A92" s="293" t="s">
        <v>241</v>
      </c>
      <c r="B92" s="276">
        <f>B93</f>
        <v>271300</v>
      </c>
      <c r="C92" s="276">
        <f>C93</f>
        <v>79673.88</v>
      </c>
      <c r="D92" s="272">
        <f>IF(B92=0,"   ",C92/B92*100)</f>
        <v>29.367445632141543</v>
      </c>
      <c r="E92" s="273">
        <f t="shared" si="4"/>
        <v>-191626.12</v>
      </c>
    </row>
    <row r="93" spans="1:5" ht="30.75">
      <c r="A93" s="294" t="s">
        <v>242</v>
      </c>
      <c r="B93" s="276">
        <f>Лист7!B75</f>
        <v>271300</v>
      </c>
      <c r="C93" s="276">
        <f>Лист7!C75</f>
        <v>79673.88</v>
      </c>
      <c r="D93" s="272">
        <f>IF(B93=0,"   ",C93/B93*100)</f>
        <v>29.367445632141543</v>
      </c>
      <c r="E93" s="273">
        <f t="shared" si="4"/>
        <v>-191626.12</v>
      </c>
    </row>
    <row r="94" spans="1:5" ht="15.75" customHeight="1">
      <c r="A94" s="295" t="s">
        <v>173</v>
      </c>
      <c r="B94" s="276">
        <f>B96+B95</f>
        <v>184900</v>
      </c>
      <c r="C94" s="276">
        <f>C96+C95</f>
        <v>0</v>
      </c>
      <c r="D94" s="272">
        <f t="shared" si="2"/>
        <v>0</v>
      </c>
      <c r="E94" s="273">
        <f>C94-B94</f>
        <v>-184900</v>
      </c>
    </row>
    <row r="95" spans="1:5" ht="30" customHeight="1">
      <c r="A95" s="294" t="s">
        <v>169</v>
      </c>
      <c r="B95" s="276">
        <f>Лист10!B62+Лист7!B77+Лист2!B66+Лист6!B62+Лист1!B76+Лист3!B63+Лист4!B63+Лист5!B63+Лист8!B63+Лист9!B67</f>
        <v>60000</v>
      </c>
      <c r="C95" s="276">
        <f>Лист10!C62+Лист7!C77+Лист2!C66+Лист6!C62+Лист1!C76+Лист3!C63+Лист4!C63+Лист5!C63+Лист8!C63+Лист9!C67</f>
        <v>0</v>
      </c>
      <c r="D95" s="272">
        <f t="shared" si="2"/>
        <v>0</v>
      </c>
      <c r="E95" s="273">
        <f>C95-B95</f>
        <v>-60000</v>
      </c>
    </row>
    <row r="96" spans="1:5" ht="30.75">
      <c r="A96" s="296" t="s">
        <v>166</v>
      </c>
      <c r="B96" s="276">
        <f>Лист1!B75+Лист2!B65+Лист3!B62+Лист4!B62+Лист5!B62+Лист6!B61+Лист7!B78+Лист8!B62+Лист9!B66+Лист10!B63</f>
        <v>124900</v>
      </c>
      <c r="C96" s="276">
        <f>Лист1!C75+Лист2!C65+Лист3!C62+Лист4!C62+Лист5!C62+Лист6!C61+Лист7!C78+Лист8!C62+Лист9!C66+Лист10!C63</f>
        <v>0</v>
      </c>
      <c r="D96" s="272">
        <f t="shared" si="2"/>
        <v>0</v>
      </c>
      <c r="E96" s="273">
        <f>C96-B96</f>
        <v>-124900</v>
      </c>
    </row>
    <row r="97" spans="1:5" ht="15">
      <c r="A97" s="293" t="s">
        <v>235</v>
      </c>
      <c r="B97" s="276">
        <f>B98</f>
        <v>314286.77</v>
      </c>
      <c r="C97" s="276">
        <f>C98</f>
        <v>157506.95</v>
      </c>
      <c r="D97" s="272">
        <f>IF(B97=0,"   ",C97/B97*100)</f>
        <v>50.1156793841497</v>
      </c>
      <c r="E97" s="273">
        <f>C97-B97</f>
        <v>-156779.82</v>
      </c>
    </row>
    <row r="98" spans="1:5" ht="30.75">
      <c r="A98" s="294" t="s">
        <v>232</v>
      </c>
      <c r="B98" s="276">
        <f>Лист7!B80+Лист2!B68+Лист1!B78+Лист6!B64+Лист8!B65</f>
        <v>314286.77</v>
      </c>
      <c r="C98" s="276">
        <f>Лист7!C80+Лист2!C68+Лист1!C78+Лист6!C64+Лист8!C65</f>
        <v>157506.95</v>
      </c>
      <c r="D98" s="272">
        <f>IF(B98=0,"   ",C98/B98*100)</f>
        <v>50.1156793841497</v>
      </c>
      <c r="E98" s="273">
        <f>C98-B98</f>
        <v>-156779.82</v>
      </c>
    </row>
    <row r="99" spans="1:5" ht="15">
      <c r="A99" s="297" t="s">
        <v>131</v>
      </c>
      <c r="B99" s="276">
        <f>SUM(B100,B104:B113)</f>
        <v>21725504.349999998</v>
      </c>
      <c r="C99" s="276">
        <f>SUM(C100,C104:C113)</f>
        <v>12153632.629999999</v>
      </c>
      <c r="D99" s="272">
        <f aca="true" t="shared" si="5" ref="D99:D120">IF(B99=0,"   ",C99/B99*100)</f>
        <v>55.94177439659761</v>
      </c>
      <c r="E99" s="273">
        <f t="shared" si="4"/>
        <v>-9571871.719999999</v>
      </c>
    </row>
    <row r="100" spans="1:5" ht="30.75">
      <c r="A100" s="292" t="s">
        <v>206</v>
      </c>
      <c r="B100" s="276">
        <f>Лист1!B81</f>
        <v>547011.86</v>
      </c>
      <c r="C100" s="276">
        <f>Лист1!C81</f>
        <v>0</v>
      </c>
      <c r="D100" s="272">
        <f t="shared" si="5"/>
        <v>0</v>
      </c>
      <c r="E100" s="273">
        <f t="shared" si="4"/>
        <v>-547011.86</v>
      </c>
    </row>
    <row r="101" spans="1:5" ht="46.5">
      <c r="A101" s="292" t="s">
        <v>216</v>
      </c>
      <c r="B101" s="276">
        <f>Лист1!B82</f>
        <v>328200</v>
      </c>
      <c r="C101" s="276">
        <f>Лист1!C82</f>
        <v>0</v>
      </c>
      <c r="D101" s="272">
        <f t="shared" si="5"/>
        <v>0</v>
      </c>
      <c r="E101" s="273">
        <f t="shared" si="4"/>
        <v>-328200</v>
      </c>
    </row>
    <row r="102" spans="1:5" ht="46.5">
      <c r="A102" s="292" t="s">
        <v>207</v>
      </c>
      <c r="B102" s="276">
        <f>Лист1!B83</f>
        <v>109811.86</v>
      </c>
      <c r="C102" s="276">
        <f>Лист1!C83</f>
        <v>0</v>
      </c>
      <c r="D102" s="272">
        <f t="shared" si="5"/>
        <v>0</v>
      </c>
      <c r="E102" s="273">
        <f t="shared" si="4"/>
        <v>-109811.86</v>
      </c>
    </row>
    <row r="103" spans="1:5" ht="46.5">
      <c r="A103" s="292" t="s">
        <v>217</v>
      </c>
      <c r="B103" s="276">
        <f>Лист1!B84</f>
        <v>109000</v>
      </c>
      <c r="C103" s="276">
        <f>Лист1!C84</f>
        <v>0</v>
      </c>
      <c r="D103" s="272">
        <f t="shared" si="5"/>
        <v>0</v>
      </c>
      <c r="E103" s="273">
        <f t="shared" si="4"/>
        <v>-109000</v>
      </c>
    </row>
    <row r="104" spans="1:5" ht="30.75">
      <c r="A104" s="296" t="s">
        <v>282</v>
      </c>
      <c r="B104" s="276">
        <f>Лист1!B80+Лист2!B70+Лист3!B65+Лист4!B65+Лист5!B65+Лист6!B66+Лист7!B82+Лист8!B67+Лист9!B69+Лист10!B65</f>
        <v>630000</v>
      </c>
      <c r="C104" s="276">
        <f>Лист1!C80+Лист2!C70+Лист3!C65+Лист4!C65+Лист5!C65+Лист6!C66+Лист7!C82+Лист8!C67+Лист9!C69+Лист10!C65</f>
        <v>364893.03</v>
      </c>
      <c r="D104" s="272">
        <f>IF(B104=0,"   ",C104/B104*100)</f>
        <v>57.91952857142858</v>
      </c>
      <c r="E104" s="273">
        <f>C104-B104</f>
        <v>-265106.97</v>
      </c>
    </row>
    <row r="105" spans="1:5" ht="30.75">
      <c r="A105" s="294" t="s">
        <v>269</v>
      </c>
      <c r="B105" s="276">
        <f>Лист7!B89</f>
        <v>130000</v>
      </c>
      <c r="C105" s="276">
        <f>Лист7!C89</f>
        <v>0</v>
      </c>
      <c r="D105" s="272">
        <f>IF(B105=0,"   ",C105/B105*100)</f>
        <v>0</v>
      </c>
      <c r="E105" s="273">
        <f>C105-B105</f>
        <v>-130000</v>
      </c>
    </row>
    <row r="106" spans="1:5" ht="42.75" customHeight="1">
      <c r="A106" s="292" t="s">
        <v>257</v>
      </c>
      <c r="B106" s="276">
        <f>Лист1!B85+Лист2!B71+Лист3!B66+Лист4!B66+Лист5!B66+Лист6!B67+Лист7!B83+Лист8!B68+Лист9!B70+Лист10!B66</f>
        <v>4721516.449999999</v>
      </c>
      <c r="C106" s="276">
        <f>Лист1!C85+Лист2!C71+Лист3!C66+Лист4!C66+Лист5!C66+Лист6!C67+Лист7!C83+Лист8!C68+Лист9!C70+Лист10!C66</f>
        <v>1193480.33</v>
      </c>
      <c r="D106" s="272">
        <f>IF(B106=0,"   ",C106/B106*100)</f>
        <v>25.277479018420028</v>
      </c>
      <c r="E106" s="273">
        <f>C106-B106</f>
        <v>-3528036.119999999</v>
      </c>
    </row>
    <row r="107" spans="1:5" ht="45" customHeight="1">
      <c r="A107" s="292" t="s">
        <v>258</v>
      </c>
      <c r="B107" s="276">
        <f>Лист1!B86+Лист2!B72+Лист3!B67+Лист4!B67+Лист5!B67+Лист6!B68+Лист7!B84+Лист8!B69+Лист9!B71+Лист10!B67</f>
        <v>1524376.04</v>
      </c>
      <c r="C107" s="276">
        <f>Лист1!C86+Лист2!C72+Лист3!C67+Лист4!C67+Лист5!C67+Лист6!C68+Лист7!C84+Лист8!C69+Лист9!C71+Лист10!C67</f>
        <v>731271.57</v>
      </c>
      <c r="D107" s="272">
        <f t="shared" si="5"/>
        <v>47.9718619822967</v>
      </c>
      <c r="E107" s="273">
        <f t="shared" si="4"/>
        <v>-793104.4700000001</v>
      </c>
    </row>
    <row r="108" spans="1:5" ht="44.25" customHeight="1">
      <c r="A108" s="292" t="s">
        <v>259</v>
      </c>
      <c r="B108" s="276">
        <f>Лист1!B87+Лист2!B73+Лист3!B68+Лист4!B68+Лист5!B68+Лист6!B69+Лист7!B85+Лист8!B70+Лист9!B72+Лист10!B68</f>
        <v>6600100</v>
      </c>
      <c r="C108" s="276">
        <f>Лист1!C87+Лист2!C73+Лист3!C68+Лист4!C68+Лист5!C68+Лист6!C69+Лист7!C85+Лист8!C70+Лист9!C72+Лист10!C68</f>
        <v>5494532.1</v>
      </c>
      <c r="D108" s="272">
        <f t="shared" si="5"/>
        <v>83.24922501174224</v>
      </c>
      <c r="E108" s="273">
        <f t="shared" si="4"/>
        <v>-1105567.9000000004</v>
      </c>
    </row>
    <row r="109" spans="1:5" ht="48" customHeight="1">
      <c r="A109" s="292" t="s">
        <v>260</v>
      </c>
      <c r="B109" s="276">
        <f>Лист1!B88+Лист2!B74+Лист3!B69+Лист4!B69+Лист5!B69+Лист6!B70+Лист7!B86+Лист8!B71+Лист9!B73+Лист10!B69</f>
        <v>733600</v>
      </c>
      <c r="C109" s="276">
        <f>Лист1!C88+Лист2!C74+Лист3!C69+Лист4!C69+Лист5!C69+Лист6!C70+Лист7!C86+Лист8!C71+Лист9!C73+Лист10!C69</f>
        <v>633575.7000000001</v>
      </c>
      <c r="D109" s="272">
        <f t="shared" si="5"/>
        <v>86.3652808069793</v>
      </c>
      <c r="E109" s="273">
        <f t="shared" si="4"/>
        <v>-100024.29999999993</v>
      </c>
    </row>
    <row r="110" spans="1:5" ht="48" customHeight="1">
      <c r="A110" s="292" t="s">
        <v>261</v>
      </c>
      <c r="B110" s="276">
        <f>Лист1!B89+Лист2!B75+Лист3!B70+Лист4!B70+Лист5!B70+Лист6!B71+Лист7!B87+Лист8!B72+Лист9!B74+Лист10!B70</f>
        <v>4626700</v>
      </c>
      <c r="C110" s="276">
        <f>Лист1!C89+Лист2!C75+Лист3!C70+Лист4!C70+Лист5!C70+Лист6!C71+Лист7!C87+Лист8!C72+Лист9!C74+Лист10!C70</f>
        <v>2316596</v>
      </c>
      <c r="D110" s="272">
        <f t="shared" si="5"/>
        <v>50.070157995979855</v>
      </c>
      <c r="E110" s="273">
        <f>C110-B110</f>
        <v>-2310104</v>
      </c>
    </row>
    <row r="111" spans="1:5" ht="46.5" customHeight="1">
      <c r="A111" s="292" t="s">
        <v>262</v>
      </c>
      <c r="B111" s="276">
        <f>Лист1!B90+Лист2!B76+Лист3!B71+Лист4!B71+Лист5!B71+Лист6!B72+Лист7!B88+Лист8!B73+Лист9!B75+Лист10!B71</f>
        <v>514500</v>
      </c>
      <c r="C111" s="276">
        <f>Лист1!C90+Лист2!C76+Лист3!C71+Лист4!C71+Лист5!C71+Лист6!C72+Лист7!C88+Лист8!C73+Лист9!C75+Лист10!C71</f>
        <v>257399.9</v>
      </c>
      <c r="D111" s="272">
        <f t="shared" si="5"/>
        <v>50.02913508260447</v>
      </c>
      <c r="E111" s="273">
        <f t="shared" si="4"/>
        <v>-257100.1</v>
      </c>
    </row>
    <row r="112" spans="1:5" ht="45" customHeight="1">
      <c r="A112" s="292" t="s">
        <v>141</v>
      </c>
      <c r="B112" s="276">
        <f>Лист7!B90</f>
        <v>1612800</v>
      </c>
      <c r="C112" s="276">
        <f>Лист7!C90</f>
        <v>1103789.8</v>
      </c>
      <c r="D112" s="272">
        <f t="shared" si="5"/>
        <v>68.43934771825397</v>
      </c>
      <c r="E112" s="273">
        <f t="shared" si="4"/>
        <v>-509010.19999999995</v>
      </c>
    </row>
    <row r="113" spans="1:5" ht="36" customHeight="1">
      <c r="A113" s="292" t="s">
        <v>246</v>
      </c>
      <c r="B113" s="276">
        <f>Лист7!B91</f>
        <v>84900</v>
      </c>
      <c r="C113" s="276">
        <f>Лист7!C91</f>
        <v>58094.2</v>
      </c>
      <c r="D113" s="272">
        <f>IF(B113=0,"   ",C113/B113*100)</f>
        <v>68.4266195524146</v>
      </c>
      <c r="E113" s="273">
        <f>C113-B113</f>
        <v>-26805.800000000003</v>
      </c>
    </row>
    <row r="114" spans="1:5" ht="18.75" customHeight="1">
      <c r="A114" s="297" t="s">
        <v>177</v>
      </c>
      <c r="B114" s="276">
        <f>B115+B116</f>
        <v>763500</v>
      </c>
      <c r="C114" s="276">
        <f>C115+C116</f>
        <v>180500</v>
      </c>
      <c r="D114" s="272">
        <f t="shared" si="5"/>
        <v>23.64112639161755</v>
      </c>
      <c r="E114" s="273">
        <f aca="true" t="shared" si="6" ref="E114:E166">C114-B114</f>
        <v>-583000</v>
      </c>
    </row>
    <row r="115" spans="1:5" ht="63.75" customHeight="1">
      <c r="A115" s="292" t="s">
        <v>155</v>
      </c>
      <c r="B115" s="276">
        <f>Лист1!B92+Лист2!B78+Лист7!B93+Лист9!B77</f>
        <v>224100</v>
      </c>
      <c r="C115" s="276">
        <f>Лист1!C92+Лист2!C78+Лист7!C93+Лист9!C77</f>
        <v>95000</v>
      </c>
      <c r="D115" s="272">
        <f t="shared" si="5"/>
        <v>42.39178937974118</v>
      </c>
      <c r="E115" s="273">
        <f>C115-B115</f>
        <v>-129100</v>
      </c>
    </row>
    <row r="116" spans="1:5" ht="44.25" customHeight="1">
      <c r="A116" s="294" t="s">
        <v>178</v>
      </c>
      <c r="B116" s="276">
        <f>Лист1!B93+Лист2!B79+Лист3!B73+Лист4!B73+Лист5!B73+Лист6!B74+Лист7!B94+Лист8!B75+Лист9!B78+Лист10!B73</f>
        <v>539400</v>
      </c>
      <c r="C116" s="276">
        <f>Лист1!C93+Лист2!C79+Лист3!C73+Лист4!C73+Лист5!C73+Лист6!C74+Лист7!C94+Лист8!C75+Лист9!C78+Лист10!C73</f>
        <v>85500</v>
      </c>
      <c r="D116" s="272">
        <f>IF(B116=0,"   ",C116/B116*100)</f>
        <v>15.85094549499444</v>
      </c>
      <c r="E116" s="273">
        <f>C116-B116</f>
        <v>-453900</v>
      </c>
    </row>
    <row r="117" spans="1:5" ht="15.75" customHeight="1">
      <c r="A117" s="274" t="s">
        <v>13</v>
      </c>
      <c r="B117" s="275">
        <f>SUM(B118,B121,B132,)</f>
        <v>89813842.95</v>
      </c>
      <c r="C117" s="275">
        <f>SUM(C118,C121,C132,)</f>
        <v>5823988.28</v>
      </c>
      <c r="D117" s="272">
        <f t="shared" si="5"/>
        <v>6.484510726528265</v>
      </c>
      <c r="E117" s="273">
        <f t="shared" si="6"/>
        <v>-83989854.67</v>
      </c>
    </row>
    <row r="118" spans="1:5" ht="14.25" customHeight="1">
      <c r="A118" s="274" t="s">
        <v>14</v>
      </c>
      <c r="B118" s="275">
        <f>SUM(B119:B120)</f>
        <v>412790.5</v>
      </c>
      <c r="C118" s="275">
        <f>SUM(C119:C120)</f>
        <v>124620.88</v>
      </c>
      <c r="D118" s="272">
        <f t="shared" si="5"/>
        <v>30.18986144303224</v>
      </c>
      <c r="E118" s="273">
        <f t="shared" si="6"/>
        <v>-288169.62</v>
      </c>
    </row>
    <row r="119" spans="1:5" ht="14.25" customHeight="1">
      <c r="A119" s="274" t="s">
        <v>92</v>
      </c>
      <c r="B119" s="275">
        <f>Лист7!B97+Лист9!B81+Лист1!B98</f>
        <v>300000</v>
      </c>
      <c r="C119" s="275">
        <f>Лист7!C97+Лист9!C81+Лист1!C98</f>
        <v>81830.38</v>
      </c>
      <c r="D119" s="272">
        <f t="shared" si="5"/>
        <v>27.276793333333334</v>
      </c>
      <c r="E119" s="273">
        <f t="shared" si="6"/>
        <v>-218169.62</v>
      </c>
    </row>
    <row r="120" spans="1:5" ht="21.75" customHeight="1">
      <c r="A120" s="274" t="s">
        <v>183</v>
      </c>
      <c r="B120" s="275">
        <f>Лист7!B98</f>
        <v>112790.5</v>
      </c>
      <c r="C120" s="275">
        <f>Лист7!C98</f>
        <v>42790.5</v>
      </c>
      <c r="D120" s="272">
        <f t="shared" si="5"/>
        <v>37.93803556150562</v>
      </c>
      <c r="E120" s="273">
        <f>C120-B120</f>
        <v>-70000</v>
      </c>
    </row>
    <row r="121" spans="1:5" ht="14.25" customHeight="1">
      <c r="A121" s="274" t="s">
        <v>70</v>
      </c>
      <c r="B121" s="275">
        <f>SUM(B122:B125:B127,B128)</f>
        <v>20161835.24</v>
      </c>
      <c r="C121" s="275">
        <f>SUM(C122:C125:C127,C128)</f>
        <v>393493.31</v>
      </c>
      <c r="D121" s="272">
        <f aca="true" t="shared" si="7" ref="D121:D149">IF(B121=0,"   ",C121/B121*100)</f>
        <v>1.9516740679406526</v>
      </c>
      <c r="E121" s="273">
        <f t="shared" si="6"/>
        <v>-19768341.93</v>
      </c>
    </row>
    <row r="122" spans="1:5" ht="15">
      <c r="A122" s="274" t="s">
        <v>71</v>
      </c>
      <c r="B122" s="275">
        <f>Лист7!B107</f>
        <v>300000</v>
      </c>
      <c r="C122" s="275">
        <f>Лист7!C107</f>
        <v>201000</v>
      </c>
      <c r="D122" s="272">
        <f t="shared" si="7"/>
        <v>67</v>
      </c>
      <c r="E122" s="273">
        <f t="shared" si="6"/>
        <v>-99000</v>
      </c>
    </row>
    <row r="123" spans="1:5" ht="30.75">
      <c r="A123" s="274" t="s">
        <v>301</v>
      </c>
      <c r="B123" s="275">
        <f>Лист1!B100+Лист2!B83+Лист3!B76+Лист5!B76+Лист6!B79+Лист7!B106+Лист8!B81+Лист9!B83+Лист10!B76</f>
        <v>17992710</v>
      </c>
      <c r="C123" s="275">
        <f>Лист1!C100+Лист2!C83+Лист3!C76+Лист5!C76+Лист6!C79+Лист7!C106+Лист8!C81+Лист9!C83+Лист10!C76</f>
        <v>0</v>
      </c>
      <c r="D123" s="272">
        <f t="shared" si="7"/>
        <v>0</v>
      </c>
      <c r="E123" s="273">
        <f>C123-B123</f>
        <v>-17992710</v>
      </c>
    </row>
    <row r="124" spans="1:5" ht="30.75">
      <c r="A124" s="274" t="s">
        <v>322</v>
      </c>
      <c r="B124" s="275">
        <f>Лист3!B77+Лист6!B80+Лист9!B84</f>
        <v>414330</v>
      </c>
      <c r="C124" s="275">
        <f>Лист3!C77+Лист6!C80+Лист9!C84</f>
        <v>0</v>
      </c>
      <c r="D124" s="272">
        <f>IF(B124=0,"   ",C124/B124*100)</f>
        <v>0</v>
      </c>
      <c r="E124" s="273">
        <f>C124-B124</f>
        <v>-414330</v>
      </c>
    </row>
    <row r="125" spans="1:5" ht="46.5">
      <c r="A125" s="274" t="s">
        <v>195</v>
      </c>
      <c r="B125" s="275">
        <f>Лист8!B80+Лист7!B100+Лист6!B77+Лист2!B82</f>
        <v>163220.36</v>
      </c>
      <c r="C125" s="275">
        <f>Лист8!C80+Лист7!C100+Лист6!C77+Лист2!C82</f>
        <v>72468.31</v>
      </c>
      <c r="D125" s="272">
        <f t="shared" si="7"/>
        <v>44.39906271497012</v>
      </c>
      <c r="E125" s="273">
        <f>C125-B125</f>
        <v>-90752.04999999999</v>
      </c>
    </row>
    <row r="126" spans="1:5" ht="30.75">
      <c r="A126" s="270" t="s">
        <v>225</v>
      </c>
      <c r="B126" s="275">
        <f>Лист4!B75</f>
        <v>0</v>
      </c>
      <c r="C126" s="275">
        <f>Лист4!C75</f>
        <v>0</v>
      </c>
      <c r="D126" s="272" t="str">
        <f t="shared" si="7"/>
        <v>   </v>
      </c>
      <c r="E126" s="273">
        <f>C126-B126</f>
        <v>0</v>
      </c>
    </row>
    <row r="127" spans="1:5" ht="17.25" customHeight="1">
      <c r="A127" s="270" t="s">
        <v>159</v>
      </c>
      <c r="B127" s="275">
        <f>Лист7!B101+Лист6!B78</f>
        <v>210400</v>
      </c>
      <c r="C127" s="275">
        <f>Лист7!C101+Лист6!C78</f>
        <v>120025</v>
      </c>
      <c r="D127" s="272">
        <f t="shared" si="7"/>
        <v>57.046102661596954</v>
      </c>
      <c r="E127" s="273">
        <f t="shared" si="6"/>
        <v>-90375</v>
      </c>
    </row>
    <row r="128" spans="1:5" ht="33" customHeight="1">
      <c r="A128" s="292" t="s">
        <v>206</v>
      </c>
      <c r="B128" s="275">
        <f>SUM(B129:B131)</f>
        <v>1081174.88</v>
      </c>
      <c r="C128" s="275">
        <f>SUM(C129:C131)</f>
        <v>0</v>
      </c>
      <c r="D128" s="272">
        <f t="shared" si="7"/>
        <v>0</v>
      </c>
      <c r="E128" s="273">
        <f>C128-B128</f>
        <v>-1081174.88</v>
      </c>
    </row>
    <row r="129" spans="1:5" ht="50.25" customHeight="1">
      <c r="A129" s="292" t="s">
        <v>187</v>
      </c>
      <c r="B129" s="275">
        <f>Лист1!B102+Лист9!B86</f>
        <v>876200</v>
      </c>
      <c r="C129" s="275">
        <f>Лист1!C102+Лист9!C86</f>
        <v>0</v>
      </c>
      <c r="D129" s="272">
        <f t="shared" si="7"/>
        <v>0</v>
      </c>
      <c r="E129" s="273">
        <f>C129-B129</f>
        <v>-876200</v>
      </c>
    </row>
    <row r="130" spans="1:5" ht="44.25" customHeight="1">
      <c r="A130" s="292" t="s">
        <v>200</v>
      </c>
      <c r="B130" s="275">
        <f>Лист1!B103+Лист9!B87</f>
        <v>102487.44</v>
      </c>
      <c r="C130" s="275">
        <f>Лист1!C103+Лист9!C87</f>
        <v>0</v>
      </c>
      <c r="D130" s="272">
        <f t="shared" si="7"/>
        <v>0</v>
      </c>
      <c r="E130" s="273">
        <f>C130-B130</f>
        <v>-102487.44</v>
      </c>
    </row>
    <row r="131" spans="1:5" ht="48" customHeight="1">
      <c r="A131" s="292" t="s">
        <v>212</v>
      </c>
      <c r="B131" s="275">
        <f>Лист1!B104+Лист9!B88</f>
        <v>102487.44</v>
      </c>
      <c r="C131" s="275">
        <f>Лист1!C104+Лист9!C88</f>
        <v>0</v>
      </c>
      <c r="D131" s="272">
        <f t="shared" si="7"/>
        <v>0</v>
      </c>
      <c r="E131" s="273">
        <f>C131-B131</f>
        <v>-102487.44</v>
      </c>
    </row>
    <row r="132" spans="1:5" ht="15">
      <c r="A132" s="274" t="s">
        <v>72</v>
      </c>
      <c r="B132" s="275">
        <f>B133+B137+B138+B139+B154+B145+B134+B136+B141+B150+B140+B135</f>
        <v>69239217.21000001</v>
      </c>
      <c r="C132" s="275">
        <f>C133+C137+C138+C139+C154+C145+C134+C136+C141+C150+C140+C135</f>
        <v>5305874.09</v>
      </c>
      <c r="D132" s="272">
        <f t="shared" si="7"/>
        <v>7.663105251331016</v>
      </c>
      <c r="E132" s="273">
        <f t="shared" si="6"/>
        <v>-63933343.120000005</v>
      </c>
    </row>
    <row r="133" spans="1:5" ht="15">
      <c r="A133" s="274" t="s">
        <v>60</v>
      </c>
      <c r="B133" s="275">
        <f>Лист1!B107+Лист2!B90+Лист3!B79+Лист4!B77+Лист5!B82+Лист6!B86+Лист7!B109+Лист8!B83+Лист9!B90+Лист10!B78</f>
        <v>5902300</v>
      </c>
      <c r="C133" s="275">
        <f>Лист1!C107+Лист2!C90+Лист3!C79+Лист4!C77+Лист5!C82+Лист6!C86+Лист7!C109+Лист8!C83+Лист9!C90+Лист10!C78</f>
        <v>3352605.06</v>
      </c>
      <c r="D133" s="272">
        <f t="shared" si="7"/>
        <v>56.80167155176795</v>
      </c>
      <c r="E133" s="273">
        <f t="shared" si="6"/>
        <v>-2549694.94</v>
      </c>
    </row>
    <row r="134" spans="1:5" ht="27" customHeight="1">
      <c r="A134" s="274" t="s">
        <v>218</v>
      </c>
      <c r="B134" s="275">
        <f>Лист7!B110</f>
        <v>6000</v>
      </c>
      <c r="C134" s="275">
        <f>Лист7!C110</f>
        <v>0</v>
      </c>
      <c r="D134" s="272">
        <f t="shared" si="7"/>
        <v>0</v>
      </c>
      <c r="E134" s="273">
        <f>C134-B134</f>
        <v>-6000</v>
      </c>
    </row>
    <row r="135" spans="1:5" ht="27" customHeight="1">
      <c r="A135" s="105" t="s">
        <v>303</v>
      </c>
      <c r="B135" s="275">
        <f>Лист7!B115</f>
        <v>280000</v>
      </c>
      <c r="C135" s="275">
        <f>Лист7!C115</f>
        <v>0</v>
      </c>
      <c r="D135" s="272">
        <f>IF(B135=0,"   ",C135/B135*100)</f>
        <v>0</v>
      </c>
      <c r="E135" s="273">
        <f>C135-B135</f>
        <v>-280000</v>
      </c>
    </row>
    <row r="136" spans="1:5" ht="35.25" customHeight="1">
      <c r="A136" s="292" t="s">
        <v>250</v>
      </c>
      <c r="B136" s="275">
        <f>Лист7!B124</f>
        <v>1600000</v>
      </c>
      <c r="C136" s="275">
        <f>Лист7!C124</f>
        <v>648200</v>
      </c>
      <c r="D136" s="272">
        <f t="shared" si="7"/>
        <v>40.5125</v>
      </c>
      <c r="E136" s="273">
        <f>C136-B136</f>
        <v>-951800</v>
      </c>
    </row>
    <row r="137" spans="1:5" ht="15">
      <c r="A137" s="274" t="s">
        <v>73</v>
      </c>
      <c r="B137" s="275">
        <f>Лист7!B111</f>
        <v>263000</v>
      </c>
      <c r="C137" s="275">
        <f>Лист7!C111</f>
        <v>137000</v>
      </c>
      <c r="D137" s="272">
        <f t="shared" si="7"/>
        <v>52.09125475285171</v>
      </c>
      <c r="E137" s="273">
        <f t="shared" si="6"/>
        <v>-126000</v>
      </c>
    </row>
    <row r="138" spans="1:5" ht="15">
      <c r="A138" s="274" t="s">
        <v>74</v>
      </c>
      <c r="B138" s="275">
        <f>Лист7!B112</f>
        <v>100000</v>
      </c>
      <c r="C138" s="275">
        <f>Лист7!C112</f>
        <v>29028</v>
      </c>
      <c r="D138" s="272">
        <f t="shared" si="7"/>
        <v>29.028</v>
      </c>
      <c r="E138" s="273">
        <f t="shared" si="6"/>
        <v>-70972</v>
      </c>
    </row>
    <row r="139" spans="1:5" ht="15">
      <c r="A139" s="274" t="s">
        <v>75</v>
      </c>
      <c r="B139" s="275">
        <f>Лист1!B109+Лист3!B80+Лист4!B78+Лист5!B83+Лист7!B113+Лист8!B85+Лист9!B91+Лист10!B80+Лист6!B87+Лист2!B100</f>
        <v>1786078.8800000001</v>
      </c>
      <c r="C139" s="275">
        <f>Лист1!C109+Лист3!C80+Лист4!C78+Лист5!C83+Лист7!C113+Лист8!C85+Лист9!C91+Лист10!C80+Лист6!C87+Лист2!C100</f>
        <v>1089980.45</v>
      </c>
      <c r="D139" s="272">
        <f t="shared" si="7"/>
        <v>61.026445259797256</v>
      </c>
      <c r="E139" s="273">
        <f t="shared" si="6"/>
        <v>-696098.4300000002</v>
      </c>
    </row>
    <row r="140" spans="1:5" ht="27">
      <c r="A140" s="105" t="s">
        <v>302</v>
      </c>
      <c r="B140" s="275">
        <f>Лист1!B110+Лист3!B86+Лист4!B83+Лист5!B89+Лист7!B114+Лист8!B84+Лист9!B92+Лист10!B79+Лист6!B92+Лист2!B101</f>
        <v>8100000</v>
      </c>
      <c r="C140" s="275">
        <f>Лист1!C110+Лист3!C86+Лист4!C83+Лист5!C89+Лист7!C114+Лист8!C84+Лист9!C92+Лист10!C79+Лист6!C92+Лист2!C101</f>
        <v>0</v>
      </c>
      <c r="D140" s="272">
        <f>IF(B140=0,"   ",C140/B140*100)</f>
        <v>0</v>
      </c>
      <c r="E140" s="273">
        <f>C140-B140</f>
        <v>-8100000</v>
      </c>
    </row>
    <row r="141" spans="1:5" ht="30.75">
      <c r="A141" s="292" t="s">
        <v>206</v>
      </c>
      <c r="B141" s="275">
        <f>SUM(B142:B144)</f>
        <v>2778010.98</v>
      </c>
      <c r="C141" s="275">
        <f>SUM(C142:C144)</f>
        <v>49060.58</v>
      </c>
      <c r="D141" s="272">
        <f>IF(B141=0,"   ",C141/B141*100)</f>
        <v>1.7660326166169436</v>
      </c>
      <c r="E141" s="273">
        <f aca="true" t="shared" si="8" ref="E141:E146">C141-B141</f>
        <v>-2728950.4</v>
      </c>
    </row>
    <row r="142" spans="1:5" ht="46.5">
      <c r="A142" s="292" t="s">
        <v>213</v>
      </c>
      <c r="B142" s="275">
        <f>Лист1!B112+Лист2!B92+Лист4!B80+Лист6!B89+Лист9!B94+Лист10!B82+Лист5!B86+Лист7!B121</f>
        <v>1929700</v>
      </c>
      <c r="C142" s="275">
        <f>Лист1!C112+Лист2!C92+Лист4!C80+Лист6!C89+Лист9!C94+Лист10!C82+Лист5!C86+Лист7!C121</f>
        <v>0</v>
      </c>
      <c r="D142" s="272">
        <f>IF(B142=0,"   ",C142/B142*100)</f>
        <v>0</v>
      </c>
      <c r="E142" s="273">
        <f t="shared" si="8"/>
        <v>-1929700</v>
      </c>
    </row>
    <row r="143" spans="1:5" ht="46.5">
      <c r="A143" s="292" t="s">
        <v>214</v>
      </c>
      <c r="B143" s="275">
        <f>Лист1!B113+Лист2!B93+Лист4!B81+Лист6!B90+Лист9!B95+Лист10!B83+Лист5!B87+Лист7!B122</f>
        <v>593280.19</v>
      </c>
      <c r="C143" s="275">
        <f>Лист1!C113+Лист2!C93+Лист4!C81+Лист6!C90+Лист9!C95+Лист10!C83+Лист5!C87+Лист7!C122</f>
        <v>24530.29</v>
      </c>
      <c r="D143" s="272">
        <f>IF(B143=0,"   ",C143/B143*100)</f>
        <v>4.1346888727230215</v>
      </c>
      <c r="E143" s="273">
        <f t="shared" si="8"/>
        <v>-568749.8999999999</v>
      </c>
    </row>
    <row r="144" spans="1:5" ht="46.5">
      <c r="A144" s="292" t="s">
        <v>215</v>
      </c>
      <c r="B144" s="275">
        <f>Лист1!B114+Лист2!B94+Лист4!B82+Лист6!B91+Лист9!B96+Лист10!B84+Лист5!B88+Лист7!B123</f>
        <v>255030.79</v>
      </c>
      <c r="C144" s="275">
        <f>Лист1!C114+Лист2!C94+Лист4!C82+Лист6!C91+Лист9!C96+Лист10!C84+Лист5!C88+Лист7!C123</f>
        <v>24530.29</v>
      </c>
      <c r="D144" s="272">
        <f>IF(B144=0,"   ",C144/B144*100)</f>
        <v>9.618560174636169</v>
      </c>
      <c r="E144" s="273">
        <f t="shared" si="8"/>
        <v>-230500.5</v>
      </c>
    </row>
    <row r="145" spans="1:5" ht="15">
      <c r="A145" s="292" t="s">
        <v>274</v>
      </c>
      <c r="B145" s="275">
        <f>SUM(B146:B149)</f>
        <v>520700</v>
      </c>
      <c r="C145" s="275">
        <f>SUM(C146:C149)</f>
        <v>0</v>
      </c>
      <c r="D145" s="272">
        <f t="shared" si="7"/>
        <v>0</v>
      </c>
      <c r="E145" s="273">
        <f t="shared" si="8"/>
        <v>-520700</v>
      </c>
    </row>
    <row r="146" spans="1:5" ht="15">
      <c r="A146" s="292" t="s">
        <v>275</v>
      </c>
      <c r="B146" s="275">
        <f>Лист2!B96+Лист9!B98</f>
        <v>360900</v>
      </c>
      <c r="C146" s="275">
        <f>Лист2!C96+Лист9!C98</f>
        <v>0</v>
      </c>
      <c r="D146" s="272">
        <f t="shared" si="7"/>
        <v>0</v>
      </c>
      <c r="E146" s="273">
        <f t="shared" si="8"/>
        <v>-360900</v>
      </c>
    </row>
    <row r="147" spans="1:5" ht="15">
      <c r="A147" s="292" t="s">
        <v>276</v>
      </c>
      <c r="B147" s="275">
        <f>Лист2!B97+Лист9!B99</f>
        <v>3645.45</v>
      </c>
      <c r="C147" s="275">
        <f>Лист2!C97+Лист9!C99</f>
        <v>0</v>
      </c>
      <c r="D147" s="272">
        <f t="shared" si="7"/>
        <v>0</v>
      </c>
      <c r="E147" s="273">
        <f t="shared" si="6"/>
        <v>-3645.45</v>
      </c>
    </row>
    <row r="148" spans="1:5" ht="15">
      <c r="A148" s="292" t="s">
        <v>277</v>
      </c>
      <c r="B148" s="275">
        <f>Лист2!B98+Лист9!B100</f>
        <v>78105</v>
      </c>
      <c r="C148" s="275">
        <f>Лист2!C98+Лист9!C100</f>
        <v>0</v>
      </c>
      <c r="D148" s="272">
        <f t="shared" si="7"/>
        <v>0</v>
      </c>
      <c r="E148" s="273">
        <f t="shared" si="6"/>
        <v>-78105</v>
      </c>
    </row>
    <row r="149" spans="1:5" ht="15">
      <c r="A149" s="292" t="s">
        <v>278</v>
      </c>
      <c r="B149" s="275">
        <f>Лист2!B99+Лист9!B101</f>
        <v>78049.54999999999</v>
      </c>
      <c r="C149" s="275">
        <f>Лист2!C99+Лист9!C101</f>
        <v>0</v>
      </c>
      <c r="D149" s="272">
        <f t="shared" si="7"/>
        <v>0</v>
      </c>
      <c r="E149" s="273">
        <f t="shared" si="6"/>
        <v>-78049.54999999999</v>
      </c>
    </row>
    <row r="150" spans="1:5" ht="27">
      <c r="A150" s="105" t="s">
        <v>289</v>
      </c>
      <c r="B150" s="271">
        <f>B151+B153+B152</f>
        <v>41689681.440000005</v>
      </c>
      <c r="C150" s="271">
        <f>C151+C153+C152</f>
        <v>0</v>
      </c>
      <c r="D150" s="272">
        <f>IF(B150=0,"   ",C150/B150*100)</f>
        <v>0</v>
      </c>
      <c r="E150" s="273">
        <f>C150-B150</f>
        <v>-41689681.440000005</v>
      </c>
    </row>
    <row r="151" spans="1:5" ht="27">
      <c r="A151" s="105" t="s">
        <v>273</v>
      </c>
      <c r="B151" s="271">
        <f>Лист7!B126</f>
        <v>39181634.7</v>
      </c>
      <c r="C151" s="271">
        <f>Лист7!C126</f>
        <v>0</v>
      </c>
      <c r="D151" s="272">
        <f>IF(B151=0,"   ",C151/B151*100)</f>
        <v>0</v>
      </c>
      <c r="E151" s="273">
        <f>C151-B151</f>
        <v>-39181634.7</v>
      </c>
    </row>
    <row r="152" spans="1:5" ht="27">
      <c r="A152" s="105" t="s">
        <v>290</v>
      </c>
      <c r="B152" s="271">
        <f>Лист7!B127</f>
        <v>2090039.29</v>
      </c>
      <c r="C152" s="271">
        <f>Лист7!C127</f>
        <v>0</v>
      </c>
      <c r="D152" s="272">
        <f>IF(B152=0,"   ",C152/B152*100)</f>
        <v>0</v>
      </c>
      <c r="E152" s="273">
        <f>C152-B152</f>
        <v>-2090039.29</v>
      </c>
    </row>
    <row r="153" spans="1:5" ht="27">
      <c r="A153" s="105" t="s">
        <v>291</v>
      </c>
      <c r="B153" s="271">
        <f>Лист7!B128</f>
        <v>418007.45</v>
      </c>
      <c r="C153" s="271">
        <f>Лист7!C128</f>
        <v>0</v>
      </c>
      <c r="D153" s="272">
        <f>IF(B153=0,"   ",C153/B153*100)</f>
        <v>0</v>
      </c>
      <c r="E153" s="273">
        <f>C153-B153</f>
        <v>-418007.45</v>
      </c>
    </row>
    <row r="154" spans="1:5" ht="33.75" customHeight="1">
      <c r="A154" s="292" t="s">
        <v>182</v>
      </c>
      <c r="B154" s="271">
        <f>B155+B157+B156</f>
        <v>6213445.91</v>
      </c>
      <c r="C154" s="271">
        <f>C155+C157+C156</f>
        <v>0</v>
      </c>
      <c r="D154" s="283">
        <f>IF(B154=0,"   ",C154/B154)</f>
        <v>0</v>
      </c>
      <c r="E154" s="284">
        <f t="shared" si="6"/>
        <v>-6213445.91</v>
      </c>
    </row>
    <row r="155" spans="1:5" ht="15">
      <c r="A155" s="292" t="s">
        <v>180</v>
      </c>
      <c r="B155" s="271">
        <f>Лист7!B117</f>
        <v>6151311.44</v>
      </c>
      <c r="C155" s="271">
        <f>Лист7!C117</f>
        <v>0</v>
      </c>
      <c r="D155" s="283">
        <f>IF(B155=0,"   ",C155/B155)</f>
        <v>0</v>
      </c>
      <c r="E155" s="284">
        <f t="shared" si="6"/>
        <v>-6151311.44</v>
      </c>
    </row>
    <row r="156" spans="1:5" ht="15">
      <c r="A156" s="292" t="s">
        <v>181</v>
      </c>
      <c r="B156" s="271">
        <f>Лист7!B118</f>
        <v>43494.12</v>
      </c>
      <c r="C156" s="271">
        <f>Лист7!C118</f>
        <v>0</v>
      </c>
      <c r="D156" s="283">
        <f>IF(B156=0,"   ",C156/B156)</f>
        <v>0</v>
      </c>
      <c r="E156" s="284">
        <f t="shared" si="6"/>
        <v>-43494.12</v>
      </c>
    </row>
    <row r="157" spans="1:5" ht="15">
      <c r="A157" s="292" t="s">
        <v>194</v>
      </c>
      <c r="B157" s="271">
        <f>Лист7!B119</f>
        <v>18640.35</v>
      </c>
      <c r="C157" s="271">
        <f>Лист7!C119</f>
        <v>0</v>
      </c>
      <c r="D157" s="283">
        <f>IF(B157=0,"   ",C157/B157)</f>
        <v>0</v>
      </c>
      <c r="E157" s="284">
        <f t="shared" si="6"/>
        <v>-18640.35</v>
      </c>
    </row>
    <row r="158" spans="1:5" ht="15">
      <c r="A158" s="274" t="s">
        <v>17</v>
      </c>
      <c r="B158" s="275">
        <f>Лист1!B115+Лист2!B102+Лист3!B87+Лист4!B84+Лист5!B90+Лист6!B93+Лист7!B129+Лист8!B91+Лист9!B102+Лист10!B85</f>
        <v>80000</v>
      </c>
      <c r="C158" s="275">
        <f>Лист1!C115+Лист2!C102+Лист3!C87+Лист4!C84+Лист5!C90+Лист6!C93+Лист7!C129+Лист8!C91+Лист9!C102+Лист10!C85</f>
        <v>8000</v>
      </c>
      <c r="D158" s="272">
        <f aca="true" t="shared" si="9" ref="D158:D166">IF(B158=0,"   ",C158/B158*100)</f>
        <v>10</v>
      </c>
      <c r="E158" s="273">
        <f t="shared" si="6"/>
        <v>-72000</v>
      </c>
    </row>
    <row r="159" spans="1:5" ht="30.75">
      <c r="A159" s="274" t="s">
        <v>41</v>
      </c>
      <c r="B159" s="271">
        <f>SUM(B160,)</f>
        <v>21236116.78</v>
      </c>
      <c r="C159" s="271">
        <f>C160</f>
        <v>6562029.700000001</v>
      </c>
      <c r="D159" s="272">
        <f t="shared" si="9"/>
        <v>30.900327814076</v>
      </c>
      <c r="E159" s="273">
        <f t="shared" si="6"/>
        <v>-14674087.08</v>
      </c>
    </row>
    <row r="160" spans="1:5" ht="15">
      <c r="A160" s="274" t="s">
        <v>42</v>
      </c>
      <c r="B160" s="275">
        <f>Лист1!B117+Лист2!B104+Лист3!B89+Лист4!B86+Лист5!B92+Лист6!B95+Лист7!B131+Лист8!B93+Лист9!B104+Лист10!B87</f>
        <v>21236116.78</v>
      </c>
      <c r="C160" s="275">
        <f>Лист1!C117+Лист2!C104+Лист3!C89+Лист4!C86+Лист5!C92+Лист6!C95+Лист7!C131+Лист8!C93+Лист9!C104+Лист10!C87</f>
        <v>6562029.700000001</v>
      </c>
      <c r="D160" s="272">
        <f t="shared" si="9"/>
        <v>30.900327814076</v>
      </c>
      <c r="E160" s="273">
        <f t="shared" si="6"/>
        <v>-14674087.08</v>
      </c>
    </row>
    <row r="161" spans="1:5" ht="32.25" customHeight="1">
      <c r="A161" s="274" t="s">
        <v>143</v>
      </c>
      <c r="B161" s="275">
        <f>Лист1!B117+Лист2!B105+Лист3!B90+Лист4!B86+Лист5!B92+Лист6!B96+Лист7!B132+Лист8!B93+Лист9!B104+Лист10!B87</f>
        <v>10972040</v>
      </c>
      <c r="C161" s="275">
        <f>Лист1!C117+Лист2!C105+Лист3!C90+Лист4!C86+Лист5!C92+Лист6!C96+Лист7!C132+Лист8!C93+Лист9!C104+Лист10!C87</f>
        <v>5204070.76</v>
      </c>
      <c r="D161" s="272">
        <f t="shared" si="9"/>
        <v>47.43029336385941</v>
      </c>
      <c r="E161" s="273">
        <f t="shared" si="6"/>
        <v>-5767969.24</v>
      </c>
    </row>
    <row r="162" spans="1:5" ht="16.5" customHeight="1">
      <c r="A162" s="274" t="s">
        <v>263</v>
      </c>
      <c r="B162" s="275">
        <f>Лист2!B106</f>
        <v>100000</v>
      </c>
      <c r="C162" s="275">
        <f>Лист2!C106</f>
        <v>42454.9</v>
      </c>
      <c r="D162" s="272">
        <f t="shared" si="9"/>
        <v>42.4549</v>
      </c>
      <c r="E162" s="273">
        <f>C162-B162</f>
        <v>-57545.1</v>
      </c>
    </row>
    <row r="163" spans="1:5" ht="25.5" customHeight="1">
      <c r="A163" s="274" t="s">
        <v>203</v>
      </c>
      <c r="B163" s="275">
        <f>Лист3!B92+Лист6!B97</f>
        <v>553500</v>
      </c>
      <c r="C163" s="275">
        <f>Лист3!C92+Лист6!C97</f>
        <v>40696.6</v>
      </c>
      <c r="D163" s="272">
        <f t="shared" si="9"/>
        <v>7.352592592592592</v>
      </c>
      <c r="E163" s="273">
        <f t="shared" si="6"/>
        <v>-512803.4</v>
      </c>
    </row>
    <row r="164" spans="1:5" ht="25.5" customHeight="1">
      <c r="A164" s="16" t="s">
        <v>294</v>
      </c>
      <c r="B164" s="275">
        <f>Лист7!B135</f>
        <v>938800</v>
      </c>
      <c r="C164" s="275">
        <f>Лист7!C135</f>
        <v>493000</v>
      </c>
      <c r="D164" s="272">
        <f>IF(B164=0,"   ",C164/B164*100)</f>
        <v>52.51384746484874</v>
      </c>
      <c r="E164" s="273">
        <f>C164-B164</f>
        <v>-445800</v>
      </c>
    </row>
    <row r="165" spans="1:5" ht="21.75" customHeight="1">
      <c r="A165" s="274" t="s">
        <v>193</v>
      </c>
      <c r="B165" s="275">
        <f>Лист7!B133</f>
        <v>1238800</v>
      </c>
      <c r="C165" s="275">
        <f>Лист7!C133</f>
        <v>0</v>
      </c>
      <c r="D165" s="272">
        <f t="shared" si="9"/>
        <v>0</v>
      </c>
      <c r="E165" s="273">
        <f t="shared" si="6"/>
        <v>-1238800</v>
      </c>
    </row>
    <row r="166" spans="1:5" ht="25.5" customHeight="1">
      <c r="A166" s="274" t="s">
        <v>144</v>
      </c>
      <c r="B166" s="275">
        <f>Лист7!B134</f>
        <v>1349988.39</v>
      </c>
      <c r="C166" s="275">
        <f>Лист7!C134</f>
        <v>781807.44</v>
      </c>
      <c r="D166" s="272">
        <f t="shared" si="9"/>
        <v>57.91216026680052</v>
      </c>
      <c r="E166" s="273">
        <f t="shared" si="6"/>
        <v>-568180.95</v>
      </c>
    </row>
    <row r="167" spans="1:5" ht="30.75" customHeight="1">
      <c r="A167" s="274" t="s">
        <v>267</v>
      </c>
      <c r="B167" s="275">
        <f>Лист7!B136</f>
        <v>6082988.39</v>
      </c>
      <c r="C167" s="275">
        <f>Лист7!C136</f>
        <v>0</v>
      </c>
      <c r="D167" s="272">
        <f aca="true" t="shared" si="10" ref="D167:D172">IF(B167=0,"   ",C167/B167*100)</f>
        <v>0</v>
      </c>
      <c r="E167" s="273">
        <f aca="true" t="shared" si="11" ref="E167:E180">C167-B167</f>
        <v>-6082988.39</v>
      </c>
    </row>
    <row r="168" spans="1:5" ht="25.5" customHeight="1">
      <c r="A168" s="292" t="s">
        <v>180</v>
      </c>
      <c r="B168" s="275">
        <f>Лист7!B137</f>
        <v>4340232.21</v>
      </c>
      <c r="C168" s="275">
        <f>Лист7!C137</f>
        <v>0</v>
      </c>
      <c r="D168" s="272">
        <f t="shared" si="10"/>
        <v>0</v>
      </c>
      <c r="E168" s="273">
        <f t="shared" si="11"/>
        <v>-4340232.21</v>
      </c>
    </row>
    <row r="169" spans="1:5" ht="25.5" customHeight="1">
      <c r="A169" s="292" t="s">
        <v>181</v>
      </c>
      <c r="B169" s="275">
        <f>Лист7!B138</f>
        <v>1659767.79</v>
      </c>
      <c r="C169" s="275">
        <f>Лист7!C138</f>
        <v>0</v>
      </c>
      <c r="D169" s="272">
        <f t="shared" si="10"/>
        <v>0</v>
      </c>
      <c r="E169" s="273">
        <f t="shared" si="11"/>
        <v>-1659767.79</v>
      </c>
    </row>
    <row r="170" spans="1:5" ht="30.75" customHeight="1">
      <c r="A170" s="292" t="s">
        <v>192</v>
      </c>
      <c r="B170" s="275">
        <f>Лист7!B139</f>
        <v>82988.39</v>
      </c>
      <c r="C170" s="275">
        <f>Лист7!C139</f>
        <v>0</v>
      </c>
      <c r="D170" s="272">
        <f t="shared" si="10"/>
        <v>0</v>
      </c>
      <c r="E170" s="273">
        <f t="shared" si="11"/>
        <v>-82988.39</v>
      </c>
    </row>
    <row r="171" spans="1:5" ht="21.75" customHeight="1">
      <c r="A171" s="274" t="s">
        <v>233</v>
      </c>
      <c r="B171" s="275">
        <f>SUM(B172,)</f>
        <v>6000</v>
      </c>
      <c r="C171" s="275">
        <f>SUM(C172,)</f>
        <v>1219.77</v>
      </c>
      <c r="D171" s="272">
        <f t="shared" si="10"/>
        <v>20.3295</v>
      </c>
      <c r="E171" s="273">
        <f t="shared" si="11"/>
        <v>-4780.23</v>
      </c>
    </row>
    <row r="172" spans="1:5" ht="30.75" customHeight="1">
      <c r="A172" s="274" t="s">
        <v>234</v>
      </c>
      <c r="B172" s="275">
        <f>Лист10!B89</f>
        <v>6000</v>
      </c>
      <c r="C172" s="275">
        <f>Лист10!C89</f>
        <v>1219.77</v>
      </c>
      <c r="D172" s="272">
        <f t="shared" si="10"/>
        <v>20.3295</v>
      </c>
      <c r="E172" s="273">
        <f t="shared" si="11"/>
        <v>-4780.23</v>
      </c>
    </row>
    <row r="173" spans="1:5" ht="20.25" customHeight="1">
      <c r="A173" s="274" t="s">
        <v>124</v>
      </c>
      <c r="B173" s="275">
        <f>SUM(B174+B175)</f>
        <v>1502900</v>
      </c>
      <c r="C173" s="275">
        <f>SUM(C174+C175)</f>
        <v>234595.51</v>
      </c>
      <c r="D173" s="272">
        <f aca="true" t="shared" si="12" ref="D173:D180">IF(B173=0,"   ",C173/B173*100)</f>
        <v>15.60952225696986</v>
      </c>
      <c r="E173" s="273">
        <f t="shared" si="11"/>
        <v>-1268304.49</v>
      </c>
    </row>
    <row r="174" spans="1:5" ht="33.75" customHeight="1">
      <c r="A174" s="274" t="s">
        <v>295</v>
      </c>
      <c r="B174" s="275">
        <f>Лист1!B119+Лист2!B108+Лист3!B94+Лист4!B88+Лист5!B94+Лист6!B99+Лист7!B141+Лист8!B95+Лист9!B106+Лист10!B91</f>
        <v>210000</v>
      </c>
      <c r="C174" s="275">
        <f>Лист1!C119+Лист2!C108+Лист3!C94+Лист4!C88+Лист5!C94+Лист6!C99+Лист7!C141+Лист8!C95+Лист9!C106+Лист10!C91</f>
        <v>40580</v>
      </c>
      <c r="D174" s="272">
        <f t="shared" si="12"/>
        <v>19.323809523809523</v>
      </c>
      <c r="E174" s="273">
        <f t="shared" si="11"/>
        <v>-169420</v>
      </c>
    </row>
    <row r="175" spans="1:5" ht="24" customHeight="1">
      <c r="A175" s="292" t="s">
        <v>274</v>
      </c>
      <c r="B175" s="275">
        <f>SUM(B176:B179)</f>
        <v>1292900</v>
      </c>
      <c r="C175" s="275">
        <f>SUM(C176:C179)</f>
        <v>194015.51</v>
      </c>
      <c r="D175" s="272">
        <f>IF(B175=0,"   ",C175/B175*100)</f>
        <v>15.006227086394928</v>
      </c>
      <c r="E175" s="273">
        <f t="shared" si="11"/>
        <v>-1098884.49</v>
      </c>
    </row>
    <row r="176" spans="1:5" ht="24" customHeight="1">
      <c r="A176" s="292" t="s">
        <v>275</v>
      </c>
      <c r="B176" s="275">
        <f>Лист4!B90</f>
        <v>895900</v>
      </c>
      <c r="C176" s="275">
        <f>Лист4!C90</f>
        <v>0</v>
      </c>
      <c r="D176" s="272">
        <f t="shared" si="12"/>
        <v>0</v>
      </c>
      <c r="E176" s="273">
        <f t="shared" si="11"/>
        <v>-895900</v>
      </c>
    </row>
    <row r="177" spans="1:5" ht="22.5" customHeight="1">
      <c r="A177" s="292" t="s">
        <v>276</v>
      </c>
      <c r="B177" s="275">
        <f>Лист4!B91</f>
        <v>9049.49</v>
      </c>
      <c r="C177" s="275">
        <f>Лист4!C91</f>
        <v>0</v>
      </c>
      <c r="D177" s="272">
        <f t="shared" si="12"/>
        <v>0</v>
      </c>
      <c r="E177" s="273">
        <f t="shared" si="11"/>
        <v>-9049.49</v>
      </c>
    </row>
    <row r="178" spans="1:5" ht="22.5" customHeight="1">
      <c r="A178" s="292" t="s">
        <v>278</v>
      </c>
      <c r="B178" s="275">
        <f>Лист4!B93</f>
        <v>194015.51</v>
      </c>
      <c r="C178" s="275">
        <f>Лист4!C93</f>
        <v>194015.51</v>
      </c>
      <c r="D178" s="272">
        <f>IF(B178=0,"   ",C178/B178*100)</f>
        <v>100</v>
      </c>
      <c r="E178" s="273">
        <f>C178-B178</f>
        <v>0</v>
      </c>
    </row>
    <row r="179" spans="1:5" ht="24" customHeight="1">
      <c r="A179" s="292" t="s">
        <v>277</v>
      </c>
      <c r="B179" s="275">
        <f>Лист4!B92</f>
        <v>193935</v>
      </c>
      <c r="C179" s="275">
        <f>Лист4!C92</f>
        <v>0</v>
      </c>
      <c r="D179" s="272">
        <f t="shared" si="12"/>
        <v>0</v>
      </c>
      <c r="E179" s="273">
        <f t="shared" si="11"/>
        <v>-193935</v>
      </c>
    </row>
    <row r="180" spans="1:6" ht="25.5" customHeight="1">
      <c r="A180" s="277" t="s">
        <v>15</v>
      </c>
      <c r="B180" s="278">
        <f>B73+B84+B86+B91+B117+B158+B159+B171+B173</f>
        <v>152329721.4</v>
      </c>
      <c r="C180" s="278">
        <f>C73+C84+C86+C91+C117+C158+C159+C171+C173</f>
        <v>34553457.61</v>
      </c>
      <c r="D180" s="279">
        <f t="shared" si="12"/>
        <v>22.6833327681777</v>
      </c>
      <c r="E180" s="280">
        <f t="shared" si="11"/>
        <v>-117776263.79</v>
      </c>
      <c r="F180" s="192"/>
    </row>
    <row r="181" spans="1:5" s="59" customFormat="1" ht="23.25" customHeight="1">
      <c r="A181" s="300" t="s">
        <v>283</v>
      </c>
      <c r="B181" s="301">
        <f>(B70-B180)</f>
        <v>-2581788.5100000203</v>
      </c>
      <c r="C181" s="301">
        <f>(C70-C180)</f>
        <v>4008532.8400000036</v>
      </c>
      <c r="D181" s="268"/>
      <c r="E181" s="268"/>
    </row>
    <row r="182" spans="1:5" s="59" customFormat="1" ht="21" customHeight="1">
      <c r="A182" s="300" t="s">
        <v>284</v>
      </c>
      <c r="B182" s="300"/>
      <c r="C182" s="302"/>
      <c r="D182" s="302"/>
      <c r="E182" s="302"/>
    </row>
    <row r="183" spans="1:5" ht="15">
      <c r="A183" s="300" t="s">
        <v>285</v>
      </c>
      <c r="B183" s="301">
        <f>SUM(B8+B44+B45+B50+B54)</f>
        <v>20637100</v>
      </c>
      <c r="C183" s="301">
        <f>SUM(C8+C44+C45+C50+C54)</f>
        <v>13571384.240000002</v>
      </c>
      <c r="D183" s="279">
        <f>IF(B183=0,"   ",C183/B183*100)</f>
        <v>65.76207044594446</v>
      </c>
      <c r="E183" s="280">
        <f>C183-B183</f>
        <v>-7065715.759999998</v>
      </c>
    </row>
    <row r="184" spans="1:5" ht="15">
      <c r="A184" s="300" t="s">
        <v>286</v>
      </c>
      <c r="B184" s="301">
        <f>SUM(B99)</f>
        <v>21725504.349999998</v>
      </c>
      <c r="C184" s="301">
        <f>SUM(C99)</f>
        <v>12153632.629999999</v>
      </c>
      <c r="D184" s="279">
        <f>IF(B184=0,"   ",C184/B184*100)</f>
        <v>55.94177439659761</v>
      </c>
      <c r="E184" s="280">
        <f>C184-B184</f>
        <v>-9571871.719999999</v>
      </c>
    </row>
    <row r="185" spans="1:5" ht="15">
      <c r="A185" s="300" t="s">
        <v>283</v>
      </c>
      <c r="B185" s="301">
        <f>(B183-B184)</f>
        <v>-1088404.3499999978</v>
      </c>
      <c r="C185" s="301">
        <f>(C183-C184)</f>
        <v>1417751.6100000031</v>
      </c>
      <c r="D185" s="300"/>
      <c r="E185" s="303"/>
    </row>
    <row r="186" spans="1:5" ht="12.75">
      <c r="A186" s="147"/>
      <c r="B186" s="147"/>
      <c r="C186" s="298"/>
      <c r="D186" s="147"/>
      <c r="E186" s="299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PageLayoutView="0" workbookViewId="0" topLeftCell="A34">
      <selection activeCell="C37" sqref="C37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09" t="s">
        <v>307</v>
      </c>
      <c r="B1" s="309"/>
      <c r="C1" s="309"/>
      <c r="D1" s="309"/>
      <c r="E1" s="30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251</v>
      </c>
      <c r="C3" s="32" t="s">
        <v>308</v>
      </c>
      <c r="D3" s="19" t="s">
        <v>255</v>
      </c>
      <c r="E3" s="36" t="s">
        <v>253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17">
        <f>SUM(B7)</f>
        <v>65700</v>
      </c>
      <c r="C6" s="218">
        <f>SUM(C7)</f>
        <v>15734.97</v>
      </c>
      <c r="D6" s="26">
        <f aca="true" t="shared" si="0" ref="D6:D108">IF(B6=0,"   ",C6/B6*100)</f>
        <v>23.949726027397258</v>
      </c>
      <c r="E6" s="42">
        <f aca="true" t="shared" si="1" ref="E6:E108">C6-B6</f>
        <v>-49965.03</v>
      </c>
    </row>
    <row r="7" spans="1:5" ht="16.5" customHeight="1">
      <c r="A7" s="16" t="s">
        <v>44</v>
      </c>
      <c r="B7" s="219">
        <v>65700</v>
      </c>
      <c r="C7" s="239">
        <v>15734.97</v>
      </c>
      <c r="D7" s="26">
        <f t="shared" si="0"/>
        <v>23.949726027397258</v>
      </c>
      <c r="E7" s="42">
        <f t="shared" si="1"/>
        <v>-49965.03</v>
      </c>
    </row>
    <row r="8" spans="1:5" ht="12.75" customHeight="1">
      <c r="A8" s="64" t="s">
        <v>137</v>
      </c>
      <c r="B8" s="217">
        <f>SUM(B9)</f>
        <v>698900</v>
      </c>
      <c r="C8" s="220">
        <f>SUM(C9)</f>
        <v>425896.99</v>
      </c>
      <c r="D8" s="26">
        <f t="shared" si="0"/>
        <v>60.938187151237656</v>
      </c>
      <c r="E8" s="42">
        <f t="shared" si="1"/>
        <v>-273003.01</v>
      </c>
    </row>
    <row r="9" spans="1:5" ht="18.75" customHeight="1">
      <c r="A9" s="41" t="s">
        <v>138</v>
      </c>
      <c r="B9" s="219">
        <v>698900</v>
      </c>
      <c r="C9" s="239">
        <v>425896.99</v>
      </c>
      <c r="D9" s="26">
        <f t="shared" si="0"/>
        <v>60.938187151237656</v>
      </c>
      <c r="E9" s="42">
        <f t="shared" si="1"/>
        <v>-273003.01</v>
      </c>
    </row>
    <row r="10" spans="1:5" ht="16.5" customHeight="1">
      <c r="A10" s="16" t="s">
        <v>7</v>
      </c>
      <c r="B10" s="219">
        <f>SUM(B11:B11)</f>
        <v>93500</v>
      </c>
      <c r="C10" s="221">
        <f>SUM(C11:C11)</f>
        <v>107779.96</v>
      </c>
      <c r="D10" s="26">
        <f t="shared" si="0"/>
        <v>115.27268449197862</v>
      </c>
      <c r="E10" s="42">
        <f t="shared" si="1"/>
        <v>14279.960000000006</v>
      </c>
    </row>
    <row r="11" spans="1:5" ht="14.25" customHeight="1">
      <c r="A11" s="16" t="s">
        <v>26</v>
      </c>
      <c r="B11" s="219">
        <v>93500</v>
      </c>
      <c r="C11" s="239">
        <v>107779.96</v>
      </c>
      <c r="D11" s="26">
        <f t="shared" si="0"/>
        <v>115.27268449197862</v>
      </c>
      <c r="E11" s="42">
        <f t="shared" si="1"/>
        <v>14279.960000000006</v>
      </c>
    </row>
    <row r="12" spans="1:5" ht="14.25" customHeight="1">
      <c r="A12" s="16" t="s">
        <v>9</v>
      </c>
      <c r="B12" s="219">
        <f>SUM(B13:B14)</f>
        <v>126500</v>
      </c>
      <c r="C12" s="221">
        <f>SUM(C13:C14)</f>
        <v>15923.18</v>
      </c>
      <c r="D12" s="26">
        <f t="shared" si="0"/>
        <v>12.587494071146246</v>
      </c>
      <c r="E12" s="42">
        <f t="shared" si="1"/>
        <v>-110576.82</v>
      </c>
    </row>
    <row r="13" spans="1:5" ht="12.75" customHeight="1">
      <c r="A13" s="16" t="s">
        <v>27</v>
      </c>
      <c r="B13" s="219">
        <v>56000</v>
      </c>
      <c r="C13" s="239">
        <v>2311.11</v>
      </c>
      <c r="D13" s="26">
        <f t="shared" si="0"/>
        <v>4.126982142857143</v>
      </c>
      <c r="E13" s="42">
        <f t="shared" si="1"/>
        <v>-53688.89</v>
      </c>
    </row>
    <row r="14" spans="1:5" ht="12.75">
      <c r="A14" s="41" t="s">
        <v>160</v>
      </c>
      <c r="B14" s="204">
        <f>SUM(B15:B16)</f>
        <v>70500</v>
      </c>
      <c r="C14" s="221">
        <f>SUM(C15:C16)</f>
        <v>13612.07</v>
      </c>
      <c r="D14" s="26">
        <f t="shared" si="0"/>
        <v>19.307900709219858</v>
      </c>
      <c r="E14" s="42">
        <f t="shared" si="1"/>
        <v>-56887.93</v>
      </c>
    </row>
    <row r="15" spans="1:5" ht="12.75">
      <c r="A15" s="41" t="s">
        <v>161</v>
      </c>
      <c r="B15" s="204">
        <v>5000</v>
      </c>
      <c r="C15" s="239">
        <v>3544.25</v>
      </c>
      <c r="D15" s="26">
        <f t="shared" si="0"/>
        <v>70.88499999999999</v>
      </c>
      <c r="E15" s="42">
        <f t="shared" si="1"/>
        <v>-1455.75</v>
      </c>
    </row>
    <row r="16" spans="1:5" ht="12.75">
      <c r="A16" s="41" t="s">
        <v>162</v>
      </c>
      <c r="B16" s="204">
        <v>65500</v>
      </c>
      <c r="C16" s="239">
        <v>10067.82</v>
      </c>
      <c r="D16" s="26">
        <f t="shared" si="0"/>
        <v>15.37071755725191</v>
      </c>
      <c r="E16" s="42">
        <f t="shared" si="1"/>
        <v>-55432.18</v>
      </c>
    </row>
    <row r="17" spans="1:5" ht="12.75">
      <c r="A17" s="41" t="s">
        <v>196</v>
      </c>
      <c r="B17" s="204">
        <v>0</v>
      </c>
      <c r="C17" s="222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9">
        <v>0</v>
      </c>
      <c r="C18" s="222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17">
        <f>B21+B20</f>
        <v>0</v>
      </c>
      <c r="C19" s="220">
        <f>C21+C20</f>
        <v>12818</v>
      </c>
      <c r="D19" s="26" t="str">
        <f t="shared" si="0"/>
        <v>   </v>
      </c>
      <c r="E19" s="42">
        <f t="shared" si="1"/>
        <v>12818</v>
      </c>
    </row>
    <row r="20" spans="1:5" ht="16.5" customHeight="1">
      <c r="A20" s="156" t="s">
        <v>184</v>
      </c>
      <c r="B20" s="217">
        <v>0</v>
      </c>
      <c r="C20" s="220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324</v>
      </c>
      <c r="B21" s="219">
        <v>0</v>
      </c>
      <c r="C21" s="222">
        <v>12818</v>
      </c>
      <c r="D21" s="26" t="str">
        <f t="shared" si="0"/>
        <v>   </v>
      </c>
      <c r="E21" s="42">
        <f t="shared" si="1"/>
        <v>12818</v>
      </c>
    </row>
    <row r="22" spans="1:5" ht="29.25" customHeight="1">
      <c r="A22" s="16" t="s">
        <v>28</v>
      </c>
      <c r="B22" s="219">
        <f>SUM(B23:B24)</f>
        <v>99200</v>
      </c>
      <c r="C22" s="220">
        <f>SUM(C23:C24)</f>
        <v>77403.39</v>
      </c>
      <c r="D22" s="26">
        <f t="shared" si="0"/>
        <v>78.02761088709677</v>
      </c>
      <c r="E22" s="42">
        <f t="shared" si="1"/>
        <v>-21796.61</v>
      </c>
    </row>
    <row r="23" spans="1:5" ht="15.75" customHeight="1">
      <c r="A23" s="41" t="s">
        <v>152</v>
      </c>
      <c r="B23" s="219">
        <v>99200</v>
      </c>
      <c r="C23" s="239">
        <v>77403.39</v>
      </c>
      <c r="D23" s="26">
        <f t="shared" si="0"/>
        <v>78.02761088709677</v>
      </c>
      <c r="E23" s="42">
        <f t="shared" si="1"/>
        <v>-21796.61</v>
      </c>
    </row>
    <row r="24" spans="1:5" ht="15.75" customHeight="1">
      <c r="A24" s="16" t="s">
        <v>30</v>
      </c>
      <c r="B24" s="219">
        <v>0</v>
      </c>
      <c r="C24" s="222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174</v>
      </c>
      <c r="B25" s="217">
        <f>SUM(B26)</f>
        <v>0</v>
      </c>
      <c r="C25" s="220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175</v>
      </c>
      <c r="B26" s="219">
        <v>0</v>
      </c>
      <c r="C26" s="22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9">
        <f>SUM(B29:B30)</f>
        <v>0</v>
      </c>
      <c r="C28" s="221">
        <f>SUM(C29:C30)</f>
        <v>-30255.76</v>
      </c>
      <c r="D28" s="26" t="str">
        <f t="shared" si="0"/>
        <v>   </v>
      </c>
      <c r="E28" s="42">
        <f t="shared" si="1"/>
        <v>-30255.76</v>
      </c>
    </row>
    <row r="29" spans="1:5" ht="15.75" customHeight="1">
      <c r="A29" s="16" t="s">
        <v>105</v>
      </c>
      <c r="B29" s="219">
        <v>0</v>
      </c>
      <c r="C29" s="221">
        <v>-30255.76</v>
      </c>
      <c r="D29" s="26" t="str">
        <f t="shared" si="0"/>
        <v>   </v>
      </c>
      <c r="E29" s="42">
        <f t="shared" si="1"/>
        <v>-30255.76</v>
      </c>
    </row>
    <row r="30" spans="1:5" s="9" customFormat="1" ht="15" customHeight="1">
      <c r="A30" s="16" t="s">
        <v>108</v>
      </c>
      <c r="B30" s="223">
        <v>0</v>
      </c>
      <c r="C30" s="220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3" t="s">
        <v>10</v>
      </c>
      <c r="B31" s="209">
        <f>SUM(B6,B8,B10,B12,B17,B18,B19,B22,B27,B28,B25)</f>
        <v>1083800</v>
      </c>
      <c r="C31" s="213">
        <f>SUM(C6,C8,C10,C12,C17,C18,C19,C22,C27,C28,C25)</f>
        <v>625300.73</v>
      </c>
      <c r="D31" s="141">
        <f t="shared" si="0"/>
        <v>57.69521406163499</v>
      </c>
      <c r="E31" s="142">
        <f t="shared" si="1"/>
        <v>-458499.27</v>
      </c>
    </row>
    <row r="32" spans="1:5" ht="19.5" customHeight="1">
      <c r="A32" s="181" t="s">
        <v>140</v>
      </c>
      <c r="B32" s="224">
        <f>SUM(B33:B37,B40:B44,B48)</f>
        <v>5967360</v>
      </c>
      <c r="C32" s="224">
        <f>SUM(C33:C37,C40:C44,C48)</f>
        <v>1805648.75</v>
      </c>
      <c r="D32" s="141">
        <f t="shared" si="0"/>
        <v>30.25875345211283</v>
      </c>
      <c r="E32" s="142">
        <f t="shared" si="1"/>
        <v>-4161711.25</v>
      </c>
    </row>
    <row r="33" spans="1:5" ht="18.75" customHeight="1">
      <c r="A33" s="17" t="s">
        <v>34</v>
      </c>
      <c r="B33" s="217">
        <v>1568500</v>
      </c>
      <c r="C33" s="239">
        <v>1044650</v>
      </c>
      <c r="D33" s="26">
        <f t="shared" si="0"/>
        <v>66.60184890022315</v>
      </c>
      <c r="E33" s="42">
        <f t="shared" si="1"/>
        <v>-523850</v>
      </c>
    </row>
    <row r="34" spans="1:5" ht="18.75" customHeight="1">
      <c r="A34" s="17" t="s">
        <v>229</v>
      </c>
      <c r="B34" s="217">
        <v>0</v>
      </c>
      <c r="C34" s="239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9">
        <v>0</v>
      </c>
      <c r="C35" s="222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4" t="s">
        <v>51</v>
      </c>
      <c r="B36" s="135">
        <v>90300</v>
      </c>
      <c r="C36" s="243">
        <v>47700</v>
      </c>
      <c r="D36" s="136">
        <f t="shared" si="0"/>
        <v>52.823920265780735</v>
      </c>
      <c r="E36" s="137">
        <f t="shared" si="1"/>
        <v>-42600</v>
      </c>
    </row>
    <row r="37" spans="1:5" ht="32.25" customHeight="1">
      <c r="A37" s="109" t="s">
        <v>148</v>
      </c>
      <c r="B37" s="135">
        <f>SUM(B38:B39)</f>
        <v>6700</v>
      </c>
      <c r="C37" s="135">
        <f>SUM(C38:C39)</f>
        <v>100</v>
      </c>
      <c r="D37" s="136">
        <f t="shared" si="0"/>
        <v>1.4925373134328357</v>
      </c>
      <c r="E37" s="137">
        <f t="shared" si="1"/>
        <v>-6600</v>
      </c>
    </row>
    <row r="38" spans="1:5" ht="15.75" customHeight="1">
      <c r="A38" s="109" t="s">
        <v>163</v>
      </c>
      <c r="B38" s="135">
        <v>100</v>
      </c>
      <c r="C38" s="135">
        <v>100</v>
      </c>
      <c r="D38" s="136">
        <f>IF(B38=0,"   ",C38/B38*100)</f>
        <v>100</v>
      </c>
      <c r="E38" s="137">
        <f>C38-B38</f>
        <v>0</v>
      </c>
    </row>
    <row r="39" spans="1:5" ht="24.75" customHeight="1">
      <c r="A39" s="109" t="s">
        <v>164</v>
      </c>
      <c r="B39" s="135">
        <v>6600</v>
      </c>
      <c r="C39" s="135">
        <v>0</v>
      </c>
      <c r="D39" s="136">
        <f>IF(B39=0,"   ",C39/B39*100)</f>
        <v>0</v>
      </c>
      <c r="E39" s="137">
        <f>C39-B39</f>
        <v>-6600</v>
      </c>
    </row>
    <row r="40" spans="1:5" ht="26.25" customHeight="1">
      <c r="A40" s="16" t="s">
        <v>321</v>
      </c>
      <c r="B40" s="135">
        <v>185689.29</v>
      </c>
      <c r="C40" s="135">
        <v>0</v>
      </c>
      <c r="D40" s="136">
        <f t="shared" si="0"/>
        <v>0</v>
      </c>
      <c r="E40" s="137">
        <f t="shared" si="1"/>
        <v>-185689.29</v>
      </c>
    </row>
    <row r="41" spans="1:5" ht="25.5" customHeight="1">
      <c r="A41" s="16" t="s">
        <v>298</v>
      </c>
      <c r="B41" s="225">
        <v>1000000</v>
      </c>
      <c r="C41" s="225">
        <v>0</v>
      </c>
      <c r="D41" s="136">
        <f t="shared" si="0"/>
        <v>0</v>
      </c>
      <c r="E41" s="137">
        <f t="shared" si="1"/>
        <v>-1000000</v>
      </c>
    </row>
    <row r="42" spans="1:5" ht="54.75" customHeight="1">
      <c r="A42" s="16" t="s">
        <v>238</v>
      </c>
      <c r="B42" s="135">
        <v>628400</v>
      </c>
      <c r="C42" s="135">
        <v>518487.75</v>
      </c>
      <c r="D42" s="136">
        <f t="shared" si="0"/>
        <v>82.50919000636537</v>
      </c>
      <c r="E42" s="137">
        <f t="shared" si="1"/>
        <v>-109912.25</v>
      </c>
    </row>
    <row r="43" spans="1:5" ht="26.25" customHeight="1">
      <c r="A43" s="16" t="s">
        <v>279</v>
      </c>
      <c r="B43" s="135">
        <v>0</v>
      </c>
      <c r="C43" s="135">
        <v>0</v>
      </c>
      <c r="D43" s="136" t="str">
        <f t="shared" si="0"/>
        <v>   </v>
      </c>
      <c r="E43" s="137">
        <f t="shared" si="1"/>
        <v>0</v>
      </c>
    </row>
    <row r="44" spans="1:5" ht="16.5" customHeight="1">
      <c r="A44" s="16" t="s">
        <v>80</v>
      </c>
      <c r="B44" s="219">
        <f>B47+B45+B46</f>
        <v>2455060</v>
      </c>
      <c r="C44" s="226">
        <f>C47+C45</f>
        <v>162000</v>
      </c>
      <c r="D44" s="26">
        <f t="shared" si="0"/>
        <v>6.598616734417896</v>
      </c>
      <c r="E44" s="42">
        <f t="shared" si="1"/>
        <v>-2293060</v>
      </c>
    </row>
    <row r="45" spans="1:5" ht="15" customHeight="1">
      <c r="A45" s="46" t="s">
        <v>188</v>
      </c>
      <c r="B45" s="219">
        <v>92300</v>
      </c>
      <c r="C45" s="226">
        <v>0</v>
      </c>
      <c r="D45" s="26">
        <f t="shared" si="0"/>
        <v>0</v>
      </c>
      <c r="E45" s="42">
        <f t="shared" si="1"/>
        <v>-92300</v>
      </c>
    </row>
    <row r="46" spans="1:5" ht="15" customHeight="1">
      <c r="A46" s="46" t="s">
        <v>296</v>
      </c>
      <c r="B46" s="219">
        <v>1929360</v>
      </c>
      <c r="C46" s="226">
        <v>0</v>
      </c>
      <c r="D46" s="26">
        <f>IF(B46=0,"   ",C46/B46*100)</f>
        <v>0</v>
      </c>
      <c r="E46" s="42">
        <f>C46-B46</f>
        <v>-1929360</v>
      </c>
    </row>
    <row r="47" spans="1:5" s="7" customFormat="1" ht="16.5" customHeight="1">
      <c r="A47" s="46" t="s">
        <v>109</v>
      </c>
      <c r="B47" s="227">
        <v>433400</v>
      </c>
      <c r="C47" s="226">
        <v>162000</v>
      </c>
      <c r="D47" s="47">
        <f t="shared" si="0"/>
        <v>37.3788647900323</v>
      </c>
      <c r="E47" s="40">
        <f t="shared" si="1"/>
        <v>-271400</v>
      </c>
    </row>
    <row r="48" spans="1:5" s="7" customFormat="1" ht="19.5" customHeight="1">
      <c r="A48" s="16" t="s">
        <v>199</v>
      </c>
      <c r="B48" s="248">
        <v>32710.71</v>
      </c>
      <c r="C48" s="226">
        <v>32711</v>
      </c>
      <c r="D48" s="47">
        <f>IF(B48=0,"   ",C48/B48*100)</f>
        <v>100.00088655978425</v>
      </c>
      <c r="E48" s="40">
        <f>C48-B48</f>
        <v>0.2900000000008731</v>
      </c>
    </row>
    <row r="49" spans="1:5" ht="21.75" customHeight="1">
      <c r="A49" s="173" t="s">
        <v>11</v>
      </c>
      <c r="B49" s="213">
        <f>B31+B32</f>
        <v>7051160</v>
      </c>
      <c r="C49" s="213">
        <f>C31+C32</f>
        <v>2430949.48</v>
      </c>
      <c r="D49" s="141">
        <f t="shared" si="0"/>
        <v>34.4758802806914</v>
      </c>
      <c r="E49" s="142">
        <f t="shared" si="1"/>
        <v>-4620210.52</v>
      </c>
    </row>
    <row r="50" spans="1:5" ht="12.75">
      <c r="A50" s="30"/>
      <c r="B50" s="217"/>
      <c r="C50" s="228"/>
      <c r="D50" s="26" t="str">
        <f t="shared" si="0"/>
        <v>   </v>
      </c>
      <c r="E50" s="42"/>
    </row>
    <row r="51" spans="1:5" ht="13.5" thickBot="1">
      <c r="A51" s="106" t="s">
        <v>12</v>
      </c>
      <c r="B51" s="229"/>
      <c r="C51" s="230"/>
      <c r="D51" s="112" t="str">
        <f t="shared" si="0"/>
        <v>   </v>
      </c>
      <c r="E51" s="113"/>
    </row>
    <row r="52" spans="1:5" ht="13.5" thickBot="1">
      <c r="A52" s="129" t="s">
        <v>35</v>
      </c>
      <c r="B52" s="130">
        <f>SUM(B53,B56+B57)</f>
        <v>1156400</v>
      </c>
      <c r="C52" s="130">
        <f>SUM(C53,C56+C57)</f>
        <v>556276.87</v>
      </c>
      <c r="D52" s="131">
        <f t="shared" si="0"/>
        <v>48.10419145624351</v>
      </c>
      <c r="E52" s="132">
        <f t="shared" si="1"/>
        <v>-600123.13</v>
      </c>
    </row>
    <row r="53" spans="1:5" ht="13.5" thickBot="1">
      <c r="A53" s="117" t="s">
        <v>36</v>
      </c>
      <c r="B53" s="118">
        <v>1140900</v>
      </c>
      <c r="C53" s="130">
        <v>542911.57</v>
      </c>
      <c r="D53" s="119">
        <f t="shared" si="0"/>
        <v>47.5862538346919</v>
      </c>
      <c r="E53" s="120">
        <f t="shared" si="1"/>
        <v>-597988.43</v>
      </c>
    </row>
    <row r="54" spans="1:5" ht="12.75">
      <c r="A54" s="85" t="s">
        <v>120</v>
      </c>
      <c r="B54" s="25">
        <v>758679</v>
      </c>
      <c r="C54" s="28">
        <v>367306.15</v>
      </c>
      <c r="D54" s="26">
        <f t="shared" si="0"/>
        <v>48.41390759464807</v>
      </c>
      <c r="E54" s="42">
        <f t="shared" si="1"/>
        <v>-391372.85</v>
      </c>
    </row>
    <row r="55" spans="1:5" ht="12.75">
      <c r="A55" s="85" t="s">
        <v>288</v>
      </c>
      <c r="B55" s="25">
        <v>100</v>
      </c>
      <c r="C55" s="28">
        <v>100</v>
      </c>
      <c r="D55" s="26">
        <f>IF(B55=0,"   ",C55/B55*100)</f>
        <v>100</v>
      </c>
      <c r="E55" s="42">
        <f>C55-B55</f>
        <v>0</v>
      </c>
    </row>
    <row r="56" spans="1:5" ht="12.75">
      <c r="A56" s="16" t="s">
        <v>95</v>
      </c>
      <c r="B56" s="25">
        <v>500</v>
      </c>
      <c r="C56" s="28">
        <v>0</v>
      </c>
      <c r="D56" s="26">
        <f t="shared" si="0"/>
        <v>0</v>
      </c>
      <c r="E56" s="42">
        <f t="shared" si="1"/>
        <v>-500</v>
      </c>
    </row>
    <row r="57" spans="1:5" ht="12.75">
      <c r="A57" s="105" t="s">
        <v>53</v>
      </c>
      <c r="B57" s="31">
        <f>SUM(B58)</f>
        <v>15000</v>
      </c>
      <c r="C57" s="31">
        <f>SUM(C58)</f>
        <v>13365.3</v>
      </c>
      <c r="D57" s="112">
        <f t="shared" si="0"/>
        <v>89.10199999999999</v>
      </c>
      <c r="E57" s="113">
        <f t="shared" si="1"/>
        <v>-1634.7000000000007</v>
      </c>
    </row>
    <row r="58" spans="1:5" ht="29.25" customHeight="1" thickBot="1">
      <c r="A58" s="105" t="s">
        <v>248</v>
      </c>
      <c r="B58" s="122">
        <v>15000</v>
      </c>
      <c r="C58" s="123">
        <v>13365.3</v>
      </c>
      <c r="D58" s="112">
        <f t="shared" si="0"/>
        <v>89.10199999999999</v>
      </c>
      <c r="E58" s="113">
        <f t="shared" si="1"/>
        <v>-1634.7000000000007</v>
      </c>
    </row>
    <row r="59" spans="1:5" ht="13.5" thickBot="1">
      <c r="A59" s="129" t="s">
        <v>49</v>
      </c>
      <c r="B59" s="183">
        <f>SUM(B60)</f>
        <v>90300</v>
      </c>
      <c r="C59" s="183">
        <f>SUM(C60)</f>
        <v>41483.09</v>
      </c>
      <c r="D59" s="131">
        <f t="shared" si="0"/>
        <v>45.93919158361018</v>
      </c>
      <c r="E59" s="132">
        <f t="shared" si="1"/>
        <v>-48816.91</v>
      </c>
    </row>
    <row r="60" spans="1:5" ht="16.5" customHeight="1" thickBot="1">
      <c r="A60" s="121" t="s">
        <v>107</v>
      </c>
      <c r="B60" s="122">
        <v>90300</v>
      </c>
      <c r="C60" s="123">
        <v>41483.09</v>
      </c>
      <c r="D60" s="124">
        <f t="shared" si="0"/>
        <v>45.93919158361018</v>
      </c>
      <c r="E60" s="125">
        <f t="shared" si="1"/>
        <v>-48816.91</v>
      </c>
    </row>
    <row r="61" spans="1:5" ht="13.5" thickBot="1">
      <c r="A61" s="129" t="s">
        <v>37</v>
      </c>
      <c r="B61" s="130">
        <f>SUM(B62)</f>
        <v>1000</v>
      </c>
      <c r="C61" s="183">
        <f>SUM(C62)</f>
        <v>1000</v>
      </c>
      <c r="D61" s="131">
        <f t="shared" si="0"/>
        <v>100</v>
      </c>
      <c r="E61" s="132">
        <f t="shared" si="1"/>
        <v>0</v>
      </c>
    </row>
    <row r="62" spans="1:5" ht="13.5" thickBot="1">
      <c r="A62" s="75" t="s">
        <v>128</v>
      </c>
      <c r="B62" s="122">
        <v>1000</v>
      </c>
      <c r="C62" s="123">
        <v>1000</v>
      </c>
      <c r="D62" s="124">
        <f t="shared" si="0"/>
        <v>100</v>
      </c>
      <c r="E62" s="125">
        <f t="shared" si="1"/>
        <v>0</v>
      </c>
    </row>
    <row r="63" spans="1:5" ht="13.5" thickBot="1">
      <c r="A63" s="129" t="s">
        <v>38</v>
      </c>
      <c r="B63" s="99">
        <f>B64+B67+B69+B77</f>
        <v>2060857.1500000001</v>
      </c>
      <c r="C63" s="99">
        <f>C64+C67+C69+C77</f>
        <v>1025566.83</v>
      </c>
      <c r="D63" s="131">
        <f t="shared" si="0"/>
        <v>49.76409112101729</v>
      </c>
      <c r="E63" s="132">
        <f t="shared" si="1"/>
        <v>-1035290.3200000002</v>
      </c>
    </row>
    <row r="64" spans="1:5" ht="15.75" customHeight="1" thickBot="1">
      <c r="A64" s="75" t="s">
        <v>176</v>
      </c>
      <c r="B64" s="99">
        <f>SUM(B65+B66)</f>
        <v>6600</v>
      </c>
      <c r="C64" s="99">
        <f>SUM(C65+C66)</f>
        <v>0</v>
      </c>
      <c r="D64" s="131">
        <f>IF(B64=0,"   ",C64/B64*100)</f>
        <v>0</v>
      </c>
      <c r="E64" s="132">
        <f>C64-B64</f>
        <v>-6600</v>
      </c>
    </row>
    <row r="65" spans="1:5" ht="18" customHeight="1" thickBot="1">
      <c r="A65" s="75" t="s">
        <v>166</v>
      </c>
      <c r="B65" s="252">
        <v>6600</v>
      </c>
      <c r="C65" s="130">
        <v>0</v>
      </c>
      <c r="D65" s="131">
        <f>IF(B65=0,"   ",C65/B65*100)</f>
        <v>0</v>
      </c>
      <c r="E65" s="132">
        <f>C65-B65</f>
        <v>-6600</v>
      </c>
    </row>
    <row r="66" spans="1:5" ht="18" customHeight="1" thickBot="1">
      <c r="A66" s="75" t="s">
        <v>189</v>
      </c>
      <c r="B66" s="118">
        <v>0</v>
      </c>
      <c r="C66" s="118">
        <v>0</v>
      </c>
      <c r="D66" s="131" t="str">
        <f>IF(B66=0,"   ",C66/B66*100)</f>
        <v>   </v>
      </c>
      <c r="E66" s="132">
        <f>C66-B66</f>
        <v>0</v>
      </c>
    </row>
    <row r="67" spans="1:5" ht="18" customHeight="1" thickBot="1">
      <c r="A67" s="75" t="s">
        <v>231</v>
      </c>
      <c r="B67" s="99">
        <f>SUM(B68)</f>
        <v>54181.33</v>
      </c>
      <c r="C67" s="99">
        <f>SUM(C68)</f>
        <v>54181.33</v>
      </c>
      <c r="D67" s="131">
        <f>IF(B67=0,"   ",C67/B67*100)</f>
        <v>100</v>
      </c>
      <c r="E67" s="132">
        <f>C67-B67</f>
        <v>0</v>
      </c>
    </row>
    <row r="68" spans="1:5" ht="18" customHeight="1" thickBot="1">
      <c r="A68" s="75" t="s">
        <v>232</v>
      </c>
      <c r="B68" s="118">
        <v>54181.33</v>
      </c>
      <c r="C68" s="118">
        <v>54181.33</v>
      </c>
      <c r="D68" s="131">
        <f>IF(B68=0,"   ",C68/B68*100)</f>
        <v>100</v>
      </c>
      <c r="E68" s="132">
        <f>C68-B68</f>
        <v>0</v>
      </c>
    </row>
    <row r="69" spans="1:5" ht="12.75">
      <c r="A69" s="96" t="s">
        <v>131</v>
      </c>
      <c r="B69" s="118">
        <f>SUM(B70:B76)</f>
        <v>1870075.82</v>
      </c>
      <c r="C69" s="118">
        <f>SUM(C70:C76)</f>
        <v>971385.5</v>
      </c>
      <c r="D69" s="119">
        <f t="shared" si="0"/>
        <v>51.94364258450227</v>
      </c>
      <c r="E69" s="120">
        <f t="shared" si="1"/>
        <v>-898690.3200000001</v>
      </c>
    </row>
    <row r="70" spans="1:5" ht="19.5" customHeight="1">
      <c r="A70" s="75" t="s">
        <v>149</v>
      </c>
      <c r="B70" s="25">
        <v>0</v>
      </c>
      <c r="C70" s="25">
        <v>0</v>
      </c>
      <c r="D70" s="119" t="str">
        <f t="shared" si="0"/>
        <v>   </v>
      </c>
      <c r="E70" s="120">
        <f t="shared" si="1"/>
        <v>0</v>
      </c>
    </row>
    <row r="71" spans="1:5" ht="26.25">
      <c r="A71" s="71" t="s">
        <v>257</v>
      </c>
      <c r="B71" s="25">
        <v>416975.82</v>
      </c>
      <c r="C71" s="25">
        <v>0</v>
      </c>
      <c r="D71" s="26">
        <f t="shared" si="0"/>
        <v>0</v>
      </c>
      <c r="E71" s="27">
        <f t="shared" si="1"/>
        <v>-416975.82</v>
      </c>
    </row>
    <row r="72" spans="1:5" ht="26.25">
      <c r="A72" s="71" t="s">
        <v>258</v>
      </c>
      <c r="B72" s="25">
        <v>273200</v>
      </c>
      <c r="C72" s="25">
        <v>215288</v>
      </c>
      <c r="D72" s="26">
        <f t="shared" si="0"/>
        <v>78.80234260614934</v>
      </c>
      <c r="E72" s="27">
        <f t="shared" si="1"/>
        <v>-57912</v>
      </c>
    </row>
    <row r="73" spans="1:5" ht="26.25">
      <c r="A73" s="71" t="s">
        <v>259</v>
      </c>
      <c r="B73" s="25">
        <v>628400</v>
      </c>
      <c r="C73" s="25">
        <v>518487.75</v>
      </c>
      <c r="D73" s="26">
        <f t="shared" si="0"/>
        <v>82.50919000636537</v>
      </c>
      <c r="E73" s="27">
        <f t="shared" si="1"/>
        <v>-109912.25</v>
      </c>
    </row>
    <row r="74" spans="1:5" ht="26.25">
      <c r="A74" s="71" t="s">
        <v>260</v>
      </c>
      <c r="B74" s="25">
        <v>69900</v>
      </c>
      <c r="C74" s="25">
        <v>57609.75</v>
      </c>
      <c r="D74" s="26">
        <f t="shared" si="0"/>
        <v>82.41738197424893</v>
      </c>
      <c r="E74" s="27">
        <f t="shared" si="1"/>
        <v>-12290.25</v>
      </c>
    </row>
    <row r="75" spans="1:5" ht="26.25">
      <c r="A75" s="71" t="s">
        <v>261</v>
      </c>
      <c r="B75" s="25">
        <v>433400</v>
      </c>
      <c r="C75" s="25">
        <v>162000</v>
      </c>
      <c r="D75" s="26">
        <f t="shared" si="0"/>
        <v>37.3788647900323</v>
      </c>
      <c r="E75" s="27">
        <f t="shared" si="1"/>
        <v>-271400</v>
      </c>
    </row>
    <row r="76" spans="1:5" ht="27" thickBot="1">
      <c r="A76" s="71" t="s">
        <v>262</v>
      </c>
      <c r="B76" s="114">
        <v>48200</v>
      </c>
      <c r="C76" s="114">
        <v>18000</v>
      </c>
      <c r="D76" s="112">
        <f t="shared" si="0"/>
        <v>37.344398340248965</v>
      </c>
      <c r="E76" s="113">
        <f t="shared" si="1"/>
        <v>-30200</v>
      </c>
    </row>
    <row r="77" spans="1:5" ht="12.75">
      <c r="A77" s="96" t="s">
        <v>177</v>
      </c>
      <c r="B77" s="304">
        <f>SUM(B78+B79)</f>
        <v>130000</v>
      </c>
      <c r="C77" s="304">
        <f>SUM(C79)</f>
        <v>0</v>
      </c>
      <c r="D77" s="112">
        <f>IF(B77=0,"   ",C77/B77*100)</f>
        <v>0</v>
      </c>
      <c r="E77" s="113">
        <f>C77-B77</f>
        <v>-130000</v>
      </c>
    </row>
    <row r="78" spans="1:5" ht="26.25">
      <c r="A78" s="105" t="s">
        <v>155</v>
      </c>
      <c r="B78" s="31">
        <v>40000</v>
      </c>
      <c r="C78" s="31"/>
      <c r="D78" s="112"/>
      <c r="E78" s="113"/>
    </row>
    <row r="79" spans="1:5" ht="27" thickBot="1">
      <c r="A79" s="75" t="s">
        <v>178</v>
      </c>
      <c r="B79" s="122">
        <v>90000</v>
      </c>
      <c r="C79" s="122">
        <v>0</v>
      </c>
      <c r="D79" s="112">
        <f>IF(B79=0,"   ",C79/B79*100)</f>
        <v>0</v>
      </c>
      <c r="E79" s="113">
        <f>C79-B79</f>
        <v>-90000</v>
      </c>
    </row>
    <row r="80" spans="1:5" ht="13.5" customHeight="1" thickBot="1">
      <c r="A80" s="129" t="s">
        <v>13</v>
      </c>
      <c r="B80" s="130">
        <f>SUM(B89,B88,B81)</f>
        <v>3311670.1799999997</v>
      </c>
      <c r="C80" s="130">
        <f>SUM(C89,C88,C81)</f>
        <v>45563.11</v>
      </c>
      <c r="D80" s="131">
        <f t="shared" si="0"/>
        <v>1.3758347759135847</v>
      </c>
      <c r="E80" s="132">
        <f t="shared" si="1"/>
        <v>-3266107.07</v>
      </c>
    </row>
    <row r="81" spans="1:5" ht="13.5" customHeight="1" thickBot="1">
      <c r="A81" s="41" t="s">
        <v>150</v>
      </c>
      <c r="B81" s="118">
        <f>SUM(B82+B83+B84)</f>
        <v>1935970.18</v>
      </c>
      <c r="C81" s="118">
        <f>SUM(C82+C83+C84)</f>
        <v>6610.18</v>
      </c>
      <c r="D81" s="131">
        <f t="shared" si="0"/>
        <v>0.34144017652172726</v>
      </c>
      <c r="E81" s="305">
        <f t="shared" si="1"/>
        <v>-1929360</v>
      </c>
    </row>
    <row r="82" spans="1:5" ht="30.75" customHeight="1" thickBot="1">
      <c r="A82" s="16" t="s">
        <v>195</v>
      </c>
      <c r="B82" s="118">
        <v>6610.18</v>
      </c>
      <c r="C82" s="118">
        <v>6610.18</v>
      </c>
      <c r="D82" s="131">
        <f t="shared" si="0"/>
        <v>100</v>
      </c>
      <c r="E82" s="27">
        <f t="shared" si="1"/>
        <v>0</v>
      </c>
    </row>
    <row r="83" spans="1:5" ht="18" customHeight="1" thickBot="1">
      <c r="A83" s="16" t="s">
        <v>301</v>
      </c>
      <c r="B83" s="118">
        <v>1929360</v>
      </c>
      <c r="C83" s="118">
        <v>0</v>
      </c>
      <c r="D83" s="131">
        <f>IF(B83=0,"   ",C83/B83*100)</f>
        <v>0</v>
      </c>
      <c r="E83" s="27">
        <f>C83-B83</f>
        <v>-1929360</v>
      </c>
    </row>
    <row r="84" spans="1:5" ht="19.5" customHeight="1" thickBot="1">
      <c r="A84" s="105" t="s">
        <v>206</v>
      </c>
      <c r="B84" s="118">
        <f>SUM(B85+B86+B87)</f>
        <v>0</v>
      </c>
      <c r="C84" s="118">
        <f>SUM(C85+C86+C87)</f>
        <v>0</v>
      </c>
      <c r="D84" s="131" t="str">
        <f>IF(B84=0,"   ",C84/B84*100)</f>
        <v>   </v>
      </c>
      <c r="E84" s="27">
        <f>C84-B84</f>
        <v>0</v>
      </c>
    </row>
    <row r="85" spans="1:5" ht="30.75" customHeight="1" thickBot="1">
      <c r="A85" s="105" t="s">
        <v>216</v>
      </c>
      <c r="B85" s="118">
        <v>0</v>
      </c>
      <c r="C85" s="118">
        <v>0</v>
      </c>
      <c r="D85" s="131" t="str">
        <f>IF(B85=0,"   ",C85/B85*100)</f>
        <v>   </v>
      </c>
      <c r="E85" s="27">
        <f>C85-B85</f>
        <v>0</v>
      </c>
    </row>
    <row r="86" spans="1:5" ht="30.75" customHeight="1" thickBot="1">
      <c r="A86" s="105" t="s">
        <v>207</v>
      </c>
      <c r="B86" s="118">
        <v>0</v>
      </c>
      <c r="C86" s="118">
        <v>0</v>
      </c>
      <c r="D86" s="131" t="str">
        <f>IF(B86=0,"   ",C86/B86*100)</f>
        <v>   </v>
      </c>
      <c r="E86" s="27">
        <f>C86-B86</f>
        <v>0</v>
      </c>
    </row>
    <row r="87" spans="1:5" ht="30.75" customHeight="1" thickBot="1">
      <c r="A87" s="105" t="s">
        <v>217</v>
      </c>
      <c r="B87" s="118">
        <v>0</v>
      </c>
      <c r="C87" s="118">
        <v>0</v>
      </c>
      <c r="D87" s="131" t="str">
        <f>IF(B87=0,"   ",C87/B87*100)</f>
        <v>   </v>
      </c>
      <c r="E87" s="27">
        <f>C87-B87</f>
        <v>0</v>
      </c>
    </row>
    <row r="88" spans="1:5" ht="13.5" customHeight="1" thickBot="1">
      <c r="A88" s="117" t="s">
        <v>85</v>
      </c>
      <c r="B88" s="118">
        <v>0</v>
      </c>
      <c r="C88" s="118">
        <v>0</v>
      </c>
      <c r="D88" s="131" t="str">
        <f t="shared" si="0"/>
        <v>   </v>
      </c>
      <c r="E88" s="27">
        <f t="shared" si="1"/>
        <v>0</v>
      </c>
    </row>
    <row r="89" spans="1:5" ht="12.75">
      <c r="A89" s="16" t="s">
        <v>58</v>
      </c>
      <c r="B89" s="25">
        <f>B90+B100+B91+B95+B101</f>
        <v>1375700</v>
      </c>
      <c r="C89" s="25">
        <f>C90+C100+C91+C95+C101</f>
        <v>38952.93</v>
      </c>
      <c r="D89" s="26">
        <f t="shared" si="0"/>
        <v>2.831498873300865</v>
      </c>
      <c r="E89" s="42">
        <f t="shared" si="1"/>
        <v>-1336747.07</v>
      </c>
    </row>
    <row r="90" spans="1:5" ht="12.75">
      <c r="A90" s="16" t="s">
        <v>56</v>
      </c>
      <c r="B90" s="25">
        <v>59000</v>
      </c>
      <c r="C90" s="27">
        <v>38952.93</v>
      </c>
      <c r="D90" s="26">
        <f t="shared" si="0"/>
        <v>66.02191525423729</v>
      </c>
      <c r="E90" s="42">
        <f t="shared" si="1"/>
        <v>-20047.07</v>
      </c>
    </row>
    <row r="91" spans="1:5" ht="12.75">
      <c r="A91" s="105" t="s">
        <v>206</v>
      </c>
      <c r="B91" s="25">
        <f>SUM(B92:B94)</f>
        <v>92300</v>
      </c>
      <c r="C91" s="25">
        <f>SUM(C92:C94)</f>
        <v>0</v>
      </c>
      <c r="D91" s="112">
        <f t="shared" si="0"/>
        <v>0</v>
      </c>
      <c r="E91" s="113">
        <f t="shared" si="1"/>
        <v>-92300</v>
      </c>
    </row>
    <row r="92" spans="1:5" ht="26.25">
      <c r="A92" s="105" t="s">
        <v>213</v>
      </c>
      <c r="B92" s="25">
        <v>92300</v>
      </c>
      <c r="C92" s="27">
        <v>0</v>
      </c>
      <c r="D92" s="112">
        <f t="shared" si="0"/>
        <v>0</v>
      </c>
      <c r="E92" s="113">
        <f t="shared" si="1"/>
        <v>-92300</v>
      </c>
    </row>
    <row r="93" spans="1:5" ht="26.25">
      <c r="A93" s="105" t="s">
        <v>214</v>
      </c>
      <c r="B93" s="25">
        <v>0</v>
      </c>
      <c r="C93" s="27">
        <v>0</v>
      </c>
      <c r="D93" s="112" t="str">
        <f t="shared" si="0"/>
        <v>   </v>
      </c>
      <c r="E93" s="113">
        <f t="shared" si="1"/>
        <v>0</v>
      </c>
    </row>
    <row r="94" spans="1:5" ht="26.25">
      <c r="A94" s="105" t="s">
        <v>215</v>
      </c>
      <c r="B94" s="25">
        <v>0</v>
      </c>
      <c r="C94" s="27">
        <v>0</v>
      </c>
      <c r="D94" s="112" t="str">
        <f t="shared" si="0"/>
        <v>   </v>
      </c>
      <c r="E94" s="113">
        <f t="shared" si="1"/>
        <v>0</v>
      </c>
    </row>
    <row r="95" spans="1:5" ht="15">
      <c r="A95" s="292" t="s">
        <v>274</v>
      </c>
      <c r="B95" s="25">
        <f>SUM(B97+B98+B99+B96)</f>
        <v>218400</v>
      </c>
      <c r="C95" s="25">
        <f>SUM(C97+C98+C99)</f>
        <v>0</v>
      </c>
      <c r="D95" s="112">
        <f>IF(B95=0,"   ",C95/B95*100)</f>
        <v>0</v>
      </c>
      <c r="E95" s="113">
        <f>C95-B95</f>
        <v>-218400</v>
      </c>
    </row>
    <row r="96" spans="1:5" ht="15">
      <c r="A96" s="292" t="s">
        <v>275</v>
      </c>
      <c r="B96" s="114">
        <v>151400</v>
      </c>
      <c r="C96" s="114">
        <v>0</v>
      </c>
      <c r="D96" s="112">
        <f>IF(B96=0,"   ",C96/B96*100)</f>
        <v>0</v>
      </c>
      <c r="E96" s="113">
        <f>C96-B96</f>
        <v>-151400</v>
      </c>
    </row>
    <row r="97" spans="1:5" ht="15">
      <c r="A97" s="292" t="s">
        <v>276</v>
      </c>
      <c r="B97" s="114">
        <v>1529.29</v>
      </c>
      <c r="C97" s="115">
        <v>0</v>
      </c>
      <c r="D97" s="112">
        <f t="shared" si="0"/>
        <v>0</v>
      </c>
      <c r="E97" s="113">
        <f t="shared" si="1"/>
        <v>-1529.29</v>
      </c>
    </row>
    <row r="98" spans="1:5" ht="15" customHeight="1">
      <c r="A98" s="292" t="s">
        <v>277</v>
      </c>
      <c r="B98" s="114">
        <v>32760</v>
      </c>
      <c r="C98" s="115">
        <v>0</v>
      </c>
      <c r="D98" s="112">
        <f t="shared" si="0"/>
        <v>0</v>
      </c>
      <c r="E98" s="113">
        <f t="shared" si="1"/>
        <v>-32760</v>
      </c>
    </row>
    <row r="99" spans="1:5" ht="16.5" customHeight="1">
      <c r="A99" s="292" t="s">
        <v>278</v>
      </c>
      <c r="B99" s="114">
        <v>32710.71</v>
      </c>
      <c r="C99" s="115">
        <v>0</v>
      </c>
      <c r="D99" s="112">
        <f t="shared" si="0"/>
        <v>0</v>
      </c>
      <c r="E99" s="113">
        <f t="shared" si="1"/>
        <v>-32710.71</v>
      </c>
    </row>
    <row r="100" spans="1:5" ht="12.75">
      <c r="A100" s="105" t="s">
        <v>59</v>
      </c>
      <c r="B100" s="25">
        <v>6000</v>
      </c>
      <c r="C100" s="27">
        <v>0</v>
      </c>
      <c r="D100" s="26">
        <f t="shared" si="0"/>
        <v>0</v>
      </c>
      <c r="E100" s="27">
        <f t="shared" si="1"/>
        <v>-6000</v>
      </c>
    </row>
    <row r="101" spans="1:5" ht="27" thickBot="1">
      <c r="A101" s="105" t="s">
        <v>302</v>
      </c>
      <c r="B101" s="25">
        <v>1000000</v>
      </c>
      <c r="C101" s="27">
        <v>0</v>
      </c>
      <c r="D101" s="26">
        <f t="shared" si="0"/>
        <v>0</v>
      </c>
      <c r="E101" s="27">
        <f t="shared" si="1"/>
        <v>-1000000</v>
      </c>
    </row>
    <row r="102" spans="1:5" ht="15" thickBot="1">
      <c r="A102" s="133" t="s">
        <v>17</v>
      </c>
      <c r="B102" s="196">
        <v>8000</v>
      </c>
      <c r="C102" s="196">
        <v>0</v>
      </c>
      <c r="D102" s="145">
        <f t="shared" si="0"/>
        <v>0</v>
      </c>
      <c r="E102" s="146">
        <f t="shared" si="1"/>
        <v>-8000</v>
      </c>
    </row>
    <row r="103" spans="1:5" ht="13.5" thickBot="1">
      <c r="A103" s="129" t="s">
        <v>41</v>
      </c>
      <c r="B103" s="184">
        <f>B104</f>
        <v>584560</v>
      </c>
      <c r="C103" s="184">
        <f>C104</f>
        <v>494254.9</v>
      </c>
      <c r="D103" s="131">
        <f t="shared" si="0"/>
        <v>84.55161146845491</v>
      </c>
      <c r="E103" s="132">
        <f t="shared" si="1"/>
        <v>-90305.09999999998</v>
      </c>
    </row>
    <row r="104" spans="1:5" ht="12.75">
      <c r="A104" s="117" t="s">
        <v>42</v>
      </c>
      <c r="B104" s="118">
        <f>SUM(B105+B106)</f>
        <v>584560</v>
      </c>
      <c r="C104" s="118">
        <f>SUM(C105+C106)</f>
        <v>494254.9</v>
      </c>
      <c r="D104" s="119">
        <f t="shared" si="0"/>
        <v>84.55161146845491</v>
      </c>
      <c r="E104" s="120">
        <f t="shared" si="1"/>
        <v>-90305.09999999998</v>
      </c>
    </row>
    <row r="105" spans="1:5" ht="12.75">
      <c r="A105" s="169" t="s">
        <v>143</v>
      </c>
      <c r="B105" s="122">
        <v>484560</v>
      </c>
      <c r="C105" s="123">
        <v>451800</v>
      </c>
      <c r="D105" s="124">
        <f t="shared" si="0"/>
        <v>93.23922734026746</v>
      </c>
      <c r="E105" s="125">
        <f t="shared" si="1"/>
        <v>-32760</v>
      </c>
    </row>
    <row r="106" spans="1:5" ht="21.75" customHeight="1" thickBot="1">
      <c r="A106" s="16" t="s">
        <v>263</v>
      </c>
      <c r="B106" s="25">
        <v>100000</v>
      </c>
      <c r="C106" s="27">
        <v>42454.9</v>
      </c>
      <c r="D106" s="26">
        <f t="shared" si="0"/>
        <v>42.4549</v>
      </c>
      <c r="E106" s="27">
        <f t="shared" si="1"/>
        <v>-57545.1</v>
      </c>
    </row>
    <row r="107" spans="1:5" ht="13.5" thickBot="1">
      <c r="A107" s="129" t="s">
        <v>124</v>
      </c>
      <c r="B107" s="185">
        <f>SUM(B108,)</f>
        <v>8000</v>
      </c>
      <c r="C107" s="185">
        <f>SUM(C108,)</f>
        <v>0</v>
      </c>
      <c r="D107" s="145">
        <f t="shared" si="0"/>
        <v>0</v>
      </c>
      <c r="E107" s="146">
        <f t="shared" si="1"/>
        <v>-8000</v>
      </c>
    </row>
    <row r="108" spans="1:5" ht="12.75">
      <c r="A108" s="127" t="s">
        <v>43</v>
      </c>
      <c r="B108" s="122">
        <v>8000</v>
      </c>
      <c r="C108" s="128">
        <v>0</v>
      </c>
      <c r="D108" s="124">
        <f t="shared" si="0"/>
        <v>0</v>
      </c>
      <c r="E108" s="125">
        <f t="shared" si="1"/>
        <v>-8000</v>
      </c>
    </row>
    <row r="109" spans="1:5" ht="27" customHeight="1">
      <c r="A109" s="173" t="s">
        <v>15</v>
      </c>
      <c r="B109" s="150">
        <f>SUM(B52,B59,B61,B63,B80,B102,B103,B107,)</f>
        <v>7220787.33</v>
      </c>
      <c r="C109" s="150">
        <f>SUM(C52,C59,C61,C63,C80,C102,C103,C107,)</f>
        <v>2164144.8000000003</v>
      </c>
      <c r="D109" s="141">
        <f>IF(B109=0,"   ",C109/B109*100)</f>
        <v>29.971036413282654</v>
      </c>
      <c r="E109" s="142">
        <f>C109-B109</f>
        <v>-5056642.529999999</v>
      </c>
    </row>
    <row r="110" spans="1:5" s="59" customFormat="1" ht="23.25" customHeight="1">
      <c r="A110" s="80" t="s">
        <v>304</v>
      </c>
      <c r="B110" s="80"/>
      <c r="C110" s="307"/>
      <c r="D110" s="307"/>
      <c r="E110" s="307"/>
    </row>
    <row r="111" spans="1:5" s="59" customFormat="1" ht="12" customHeight="1">
      <c r="A111" s="80" t="s">
        <v>154</v>
      </c>
      <c r="B111" s="80"/>
      <c r="C111" s="81" t="s">
        <v>247</v>
      </c>
      <c r="D111" s="82"/>
      <c r="E111" s="83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</sheetData>
  <sheetProtection/>
  <mergeCells count="2">
    <mergeCell ref="A1:E1"/>
    <mergeCell ref="C110:E110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28">
      <selection activeCell="C35" sqref="C35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09" t="s">
        <v>309</v>
      </c>
      <c r="B1" s="309"/>
      <c r="C1" s="309"/>
      <c r="D1" s="309"/>
      <c r="E1" s="30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251</v>
      </c>
      <c r="C3" s="32" t="s">
        <v>310</v>
      </c>
      <c r="D3" s="19" t="s">
        <v>252</v>
      </c>
      <c r="E3" s="36" t="s">
        <v>256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9">
        <f>SUM(C7)</f>
        <v>36336.78</v>
      </c>
      <c r="D6" s="26">
        <f aca="true" t="shared" si="0" ref="D6:D94">IF(B6=0,"   ",C6/B6*100)</f>
        <v>47.19062337662338</v>
      </c>
      <c r="E6" s="42">
        <f aca="true" t="shared" si="1" ref="E6:E95">C6-B6</f>
        <v>-40663.22</v>
      </c>
    </row>
    <row r="7" spans="1:5" ht="15" customHeight="1">
      <c r="A7" s="16" t="s">
        <v>44</v>
      </c>
      <c r="B7" s="25">
        <v>77000</v>
      </c>
      <c r="C7" s="240">
        <v>36336.78</v>
      </c>
      <c r="D7" s="26">
        <f t="shared" si="0"/>
        <v>47.19062337662338</v>
      </c>
      <c r="E7" s="42">
        <f t="shared" si="1"/>
        <v>-40663.22</v>
      </c>
    </row>
    <row r="8" spans="1:5" ht="15.75" customHeight="1">
      <c r="A8" s="64" t="s">
        <v>137</v>
      </c>
      <c r="B8" s="24">
        <f>SUM(B9)</f>
        <v>391400</v>
      </c>
      <c r="C8" s="200">
        <f>SUM(C9)</f>
        <v>238502.29</v>
      </c>
      <c r="D8" s="26">
        <f t="shared" si="0"/>
        <v>60.93568983137455</v>
      </c>
      <c r="E8" s="42">
        <f t="shared" si="1"/>
        <v>-152897.71</v>
      </c>
    </row>
    <row r="9" spans="1:5" ht="15" customHeight="1">
      <c r="A9" s="41" t="s">
        <v>138</v>
      </c>
      <c r="B9" s="25">
        <v>391400</v>
      </c>
      <c r="C9" s="240">
        <v>238502.29</v>
      </c>
      <c r="D9" s="26">
        <f t="shared" si="0"/>
        <v>60.93568983137455</v>
      </c>
      <c r="E9" s="42">
        <f t="shared" si="1"/>
        <v>-152897.71</v>
      </c>
    </row>
    <row r="10" spans="1:5" ht="16.5" customHeight="1">
      <c r="A10" s="16" t="s">
        <v>7</v>
      </c>
      <c r="B10" s="25">
        <f>B11</f>
        <v>25800</v>
      </c>
      <c r="C10" s="201">
        <f>C11</f>
        <v>13290.12</v>
      </c>
      <c r="D10" s="26">
        <f t="shared" si="0"/>
        <v>51.512093023255815</v>
      </c>
      <c r="E10" s="42">
        <f t="shared" si="1"/>
        <v>-12509.88</v>
      </c>
    </row>
    <row r="11" spans="1:5" ht="15" customHeight="1">
      <c r="A11" s="16" t="s">
        <v>26</v>
      </c>
      <c r="B11" s="25">
        <v>25800</v>
      </c>
      <c r="C11" s="240">
        <v>13290.12</v>
      </c>
      <c r="D11" s="26">
        <f t="shared" si="0"/>
        <v>51.512093023255815</v>
      </c>
      <c r="E11" s="42">
        <f t="shared" si="1"/>
        <v>-12509.88</v>
      </c>
    </row>
    <row r="12" spans="1:5" ht="15" customHeight="1">
      <c r="A12" s="16" t="s">
        <v>9</v>
      </c>
      <c r="B12" s="25">
        <f>SUM(B13:B14)</f>
        <v>227000</v>
      </c>
      <c r="C12" s="201">
        <f>SUM(C13:C14)</f>
        <v>22205.84</v>
      </c>
      <c r="D12" s="26">
        <f t="shared" si="0"/>
        <v>9.782308370044053</v>
      </c>
      <c r="E12" s="42">
        <f t="shared" si="1"/>
        <v>-204794.16</v>
      </c>
    </row>
    <row r="13" spans="1:5" ht="12.75" customHeight="1">
      <c r="A13" s="16" t="s">
        <v>27</v>
      </c>
      <c r="B13" s="25">
        <v>70000</v>
      </c>
      <c r="C13" s="240">
        <v>5616.82</v>
      </c>
      <c r="D13" s="26">
        <f t="shared" si="0"/>
        <v>8.024028571428572</v>
      </c>
      <c r="E13" s="42">
        <f t="shared" si="1"/>
        <v>-64383.18</v>
      </c>
    </row>
    <row r="14" spans="1:5" ht="15" customHeight="1">
      <c r="A14" s="41" t="s">
        <v>160</v>
      </c>
      <c r="B14" s="31">
        <f>SUM(B15:B16)</f>
        <v>157000</v>
      </c>
      <c r="C14" s="201">
        <f>SUM(C15:C16)</f>
        <v>16589.02</v>
      </c>
      <c r="D14" s="26">
        <f t="shared" si="0"/>
        <v>10.566254777070064</v>
      </c>
      <c r="E14" s="42">
        <f t="shared" si="1"/>
        <v>-140410.98</v>
      </c>
    </row>
    <row r="15" spans="1:5" ht="15" customHeight="1">
      <c r="A15" s="41" t="s">
        <v>161</v>
      </c>
      <c r="B15" s="31">
        <v>1000</v>
      </c>
      <c r="C15" s="240">
        <v>1705</v>
      </c>
      <c r="D15" s="26">
        <f t="shared" si="0"/>
        <v>170.5</v>
      </c>
      <c r="E15" s="42">
        <f t="shared" si="1"/>
        <v>705</v>
      </c>
    </row>
    <row r="16" spans="1:5" ht="15" customHeight="1">
      <c r="A16" s="41" t="s">
        <v>162</v>
      </c>
      <c r="B16" s="31">
        <v>156000</v>
      </c>
      <c r="C16" s="240">
        <v>14884.02</v>
      </c>
      <c r="D16" s="26">
        <f t="shared" si="0"/>
        <v>9.541038461538461</v>
      </c>
      <c r="E16" s="42">
        <f t="shared" si="1"/>
        <v>-141115.98</v>
      </c>
    </row>
    <row r="17" spans="1:5" ht="15" customHeight="1">
      <c r="A17" s="41" t="s">
        <v>196</v>
      </c>
      <c r="B17" s="31">
        <v>0</v>
      </c>
      <c r="C17" s="202">
        <v>600</v>
      </c>
      <c r="D17" s="26" t="str">
        <f t="shared" si="0"/>
        <v>   </v>
      </c>
      <c r="E17" s="42">
        <f t="shared" si="1"/>
        <v>600</v>
      </c>
    </row>
    <row r="18" spans="1:5" ht="27.75" customHeight="1">
      <c r="A18" s="16" t="s">
        <v>88</v>
      </c>
      <c r="B18" s="25">
        <v>0</v>
      </c>
      <c r="C18" s="201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201">
        <f>SUM(C20:C21)</f>
        <v>48193.74</v>
      </c>
      <c r="D19" s="26">
        <f t="shared" si="0"/>
        <v>37.01516129032258</v>
      </c>
      <c r="E19" s="42">
        <f t="shared" si="1"/>
        <v>-82006.26000000001</v>
      </c>
    </row>
    <row r="20" spans="1:5" ht="12.75" customHeight="1">
      <c r="A20" s="41" t="s">
        <v>152</v>
      </c>
      <c r="B20" s="25">
        <v>96200</v>
      </c>
      <c r="C20" s="240">
        <v>25625.82</v>
      </c>
      <c r="D20" s="26">
        <f t="shared" si="0"/>
        <v>26.638066528066528</v>
      </c>
      <c r="E20" s="42">
        <f t="shared" si="1"/>
        <v>-70574.18</v>
      </c>
    </row>
    <row r="21" spans="1:5" ht="15.75" customHeight="1">
      <c r="A21" s="16" t="s">
        <v>30</v>
      </c>
      <c r="B21" s="25">
        <v>34000</v>
      </c>
      <c r="C21" s="240">
        <v>22567.92</v>
      </c>
      <c r="D21" s="26">
        <f t="shared" si="0"/>
        <v>66.37623529411765</v>
      </c>
      <c r="E21" s="42">
        <f t="shared" si="1"/>
        <v>-11432.080000000002</v>
      </c>
    </row>
    <row r="22" spans="1:5" ht="15.75" customHeight="1">
      <c r="A22" s="39" t="s">
        <v>91</v>
      </c>
      <c r="B22" s="25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00">
        <f>C24+C25</f>
        <v>3920</v>
      </c>
      <c r="D23" s="26" t="str">
        <f t="shared" si="0"/>
        <v>   </v>
      </c>
      <c r="E23" s="42">
        <f t="shared" si="1"/>
        <v>3920</v>
      </c>
    </row>
    <row r="24" spans="1:5" ht="27.75" customHeight="1">
      <c r="A24" s="16" t="s">
        <v>325</v>
      </c>
      <c r="B24" s="25">
        <v>0</v>
      </c>
      <c r="C24" s="243">
        <v>3920</v>
      </c>
      <c r="D24" s="26" t="str">
        <f t="shared" si="0"/>
        <v>   </v>
      </c>
      <c r="E24" s="42">
        <f t="shared" si="1"/>
        <v>3920</v>
      </c>
    </row>
    <row r="25" spans="1:5" ht="15" customHeight="1">
      <c r="A25" s="41" t="s">
        <v>134</v>
      </c>
      <c r="B25" s="25">
        <v>0</v>
      </c>
      <c r="C25" s="240">
        <v>0</v>
      </c>
      <c r="D25" s="26" t="str">
        <f t="shared" si="0"/>
        <v>   </v>
      </c>
      <c r="E25" s="42">
        <f t="shared" si="1"/>
        <v>0</v>
      </c>
    </row>
    <row r="26" spans="1:5" ht="13.5" customHeight="1">
      <c r="A26" s="16" t="s">
        <v>32</v>
      </c>
      <c r="B26" s="25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">
        <v>0</v>
      </c>
      <c r="C27" s="201">
        <v>0</v>
      </c>
      <c r="D27" s="26"/>
      <c r="E27" s="42">
        <f t="shared" si="1"/>
        <v>0</v>
      </c>
    </row>
    <row r="28" spans="1:5" ht="15" customHeight="1">
      <c r="A28" s="16" t="s">
        <v>50</v>
      </c>
      <c r="B28" s="25">
        <v>0</v>
      </c>
      <c r="C28" s="202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01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73" t="s">
        <v>10</v>
      </c>
      <c r="B30" s="43">
        <f>SUM(B6,B8,B10,B12,B18,B19,B22,B23,B29,B26,B17)</f>
        <v>851400</v>
      </c>
      <c r="C30" s="150">
        <f>SUM(C6,C8,C10,C12,C18,C19,C22,C23,C29,C26,C17)</f>
        <v>363048.77</v>
      </c>
      <c r="D30" s="141">
        <f t="shared" si="0"/>
        <v>42.6413871270848</v>
      </c>
      <c r="E30" s="142">
        <f t="shared" si="1"/>
        <v>-488351.23</v>
      </c>
    </row>
    <row r="31" spans="1:5" ht="16.5" customHeight="1">
      <c r="A31" s="181" t="s">
        <v>140</v>
      </c>
      <c r="B31" s="189">
        <f>SUM(B32:B35,B38:B41,B45)</f>
        <v>3651460</v>
      </c>
      <c r="C31" s="189">
        <f>SUM(C32:C35,C38:C41,C45)</f>
        <v>1264154.1</v>
      </c>
      <c r="D31" s="141">
        <f t="shared" si="0"/>
        <v>34.62051069982966</v>
      </c>
      <c r="E31" s="142">
        <f t="shared" si="1"/>
        <v>-2387305.9</v>
      </c>
    </row>
    <row r="32" spans="1:5" ht="20.25" customHeight="1">
      <c r="A32" s="17" t="s">
        <v>34</v>
      </c>
      <c r="B32" s="24">
        <v>1218400</v>
      </c>
      <c r="C32" s="244">
        <v>811500</v>
      </c>
      <c r="D32" s="26">
        <f t="shared" si="0"/>
        <v>66.6037426132633</v>
      </c>
      <c r="E32" s="42">
        <f t="shared" si="1"/>
        <v>-406900</v>
      </c>
    </row>
    <row r="33" spans="1:5" ht="20.25" customHeight="1">
      <c r="A33" s="17" t="s">
        <v>229</v>
      </c>
      <c r="B33" s="24">
        <v>0</v>
      </c>
      <c r="C33" s="244">
        <v>0</v>
      </c>
      <c r="D33" s="26"/>
      <c r="E33" s="42"/>
    </row>
    <row r="34" spans="1:5" ht="26.25" customHeight="1">
      <c r="A34" s="134" t="s">
        <v>51</v>
      </c>
      <c r="B34" s="135">
        <v>90300</v>
      </c>
      <c r="C34" s="244">
        <v>58500</v>
      </c>
      <c r="D34" s="136">
        <f t="shared" si="0"/>
        <v>64.78405315614619</v>
      </c>
      <c r="E34" s="137">
        <f t="shared" si="1"/>
        <v>-31800</v>
      </c>
    </row>
    <row r="35" spans="1:5" ht="26.25" customHeight="1">
      <c r="A35" s="109" t="s">
        <v>148</v>
      </c>
      <c r="B35" s="135">
        <f>SUM(B36:B37)</f>
        <v>100</v>
      </c>
      <c r="C35" s="135">
        <f>SUM(C36:C37)</f>
        <v>100</v>
      </c>
      <c r="D35" s="136">
        <f t="shared" si="0"/>
        <v>100</v>
      </c>
      <c r="E35" s="137">
        <f t="shared" si="1"/>
        <v>0</v>
      </c>
    </row>
    <row r="36" spans="1:5" ht="17.25" customHeight="1">
      <c r="A36" s="109" t="s">
        <v>163</v>
      </c>
      <c r="B36" s="135">
        <v>100</v>
      </c>
      <c r="C36" s="135">
        <v>100</v>
      </c>
      <c r="D36" s="136">
        <f>IF(B36=0,"   ",C36/B36*100)</f>
        <v>100</v>
      </c>
      <c r="E36" s="137">
        <f>C36-B36</f>
        <v>0</v>
      </c>
    </row>
    <row r="37" spans="1:5" ht="26.25" customHeight="1">
      <c r="A37" s="109" t="s">
        <v>164</v>
      </c>
      <c r="B37" s="135">
        <v>0</v>
      </c>
      <c r="C37" s="135">
        <v>0</v>
      </c>
      <c r="D37" s="136" t="str">
        <f>IF(B37=0,"   ",C37/B37*100)</f>
        <v>   </v>
      </c>
      <c r="E37" s="137">
        <f>C37-B37</f>
        <v>0</v>
      </c>
    </row>
    <row r="38" spans="1:5" ht="44.25" customHeight="1">
      <c r="A38" s="16" t="s">
        <v>103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33" customHeight="1">
      <c r="A39" s="16" t="s">
        <v>298</v>
      </c>
      <c r="B39" s="25">
        <v>200000</v>
      </c>
      <c r="C39" s="25">
        <v>0</v>
      </c>
      <c r="D39" s="26">
        <f t="shared" si="0"/>
        <v>0</v>
      </c>
      <c r="E39" s="42">
        <f t="shared" si="1"/>
        <v>-200000</v>
      </c>
    </row>
    <row r="40" spans="1:5" ht="57" customHeight="1">
      <c r="A40" s="16" t="s">
        <v>238</v>
      </c>
      <c r="B40" s="25">
        <v>328400</v>
      </c>
      <c r="C40" s="25">
        <v>262727.1</v>
      </c>
      <c r="D40" s="26">
        <f t="shared" si="0"/>
        <v>80.00216199756393</v>
      </c>
      <c r="E40" s="42">
        <f t="shared" si="1"/>
        <v>-65672.90000000002</v>
      </c>
    </row>
    <row r="41" spans="1:5" ht="15" customHeight="1">
      <c r="A41" s="16" t="s">
        <v>55</v>
      </c>
      <c r="B41" s="25">
        <f>B44+B43</f>
        <v>1814260</v>
      </c>
      <c r="C41" s="25">
        <f>C44+C43</f>
        <v>131327</v>
      </c>
      <c r="D41" s="26">
        <f t="shared" si="0"/>
        <v>7.238598657303805</v>
      </c>
      <c r="E41" s="42">
        <f t="shared" si="1"/>
        <v>-1682933</v>
      </c>
    </row>
    <row r="42" spans="1:5" ht="15" customHeight="1">
      <c r="A42" s="46" t="s">
        <v>188</v>
      </c>
      <c r="B42" s="25">
        <v>0</v>
      </c>
      <c r="C42" s="25">
        <v>0</v>
      </c>
      <c r="D42" s="47" t="str">
        <f t="shared" si="0"/>
        <v>   </v>
      </c>
      <c r="E42" s="40">
        <f t="shared" si="1"/>
        <v>0</v>
      </c>
    </row>
    <row r="43" spans="1:5" ht="15" customHeight="1">
      <c r="A43" s="46" t="s">
        <v>296</v>
      </c>
      <c r="B43" s="25">
        <v>1571660</v>
      </c>
      <c r="C43" s="25">
        <v>0</v>
      </c>
      <c r="D43" s="47">
        <f>IF(B43=0,"   ",C43/B43*100)</f>
        <v>0</v>
      </c>
      <c r="E43" s="40">
        <f>C43-B43</f>
        <v>-1571660</v>
      </c>
    </row>
    <row r="44" spans="1:5" s="7" customFormat="1" ht="18" customHeight="1">
      <c r="A44" s="46" t="s">
        <v>109</v>
      </c>
      <c r="B44" s="47">
        <v>242600</v>
      </c>
      <c r="C44" s="27">
        <v>131327</v>
      </c>
      <c r="D44" s="47">
        <f t="shared" si="0"/>
        <v>54.13314097279473</v>
      </c>
      <c r="E44" s="40">
        <f t="shared" si="1"/>
        <v>-111273</v>
      </c>
    </row>
    <row r="45" spans="1:5" s="7" customFormat="1" ht="18" customHeight="1">
      <c r="A45" s="16" t="s">
        <v>199</v>
      </c>
      <c r="B45" s="47">
        <v>0</v>
      </c>
      <c r="C45" s="27">
        <v>0</v>
      </c>
      <c r="D45" s="47" t="str">
        <f t="shared" si="0"/>
        <v>   </v>
      </c>
      <c r="E45" s="40">
        <f t="shared" si="1"/>
        <v>0</v>
      </c>
    </row>
    <row r="46" spans="1:5" ht="18.75" customHeight="1">
      <c r="A46" s="173" t="s">
        <v>11</v>
      </c>
      <c r="B46" s="150">
        <f>SUM(B30:B31,)</f>
        <v>4502860</v>
      </c>
      <c r="C46" s="150">
        <f>SUM(C30:C31,)</f>
        <v>1627202.87</v>
      </c>
      <c r="D46" s="141">
        <f t="shared" si="0"/>
        <v>36.13709664524325</v>
      </c>
      <c r="E46" s="142">
        <f t="shared" si="1"/>
        <v>-2875657.13</v>
      </c>
    </row>
    <row r="47" spans="1:5" ht="15" customHeight="1" thickBot="1">
      <c r="A47" s="106" t="s">
        <v>12</v>
      </c>
      <c r="B47" s="107"/>
      <c r="C47" s="108"/>
      <c r="D47" s="112" t="str">
        <f t="shared" si="0"/>
        <v>   </v>
      </c>
      <c r="E47" s="113">
        <f t="shared" si="1"/>
        <v>0</v>
      </c>
    </row>
    <row r="48" spans="1:5" ht="27.75" customHeight="1" thickBot="1">
      <c r="A48" s="129" t="s">
        <v>35</v>
      </c>
      <c r="B48" s="130">
        <f>SUM(B49,B52:B53)</f>
        <v>1218000</v>
      </c>
      <c r="C48" s="130">
        <f>SUM(C49,C52:C53)</f>
        <v>800075</v>
      </c>
      <c r="D48" s="131">
        <f t="shared" si="0"/>
        <v>65.6876026272578</v>
      </c>
      <c r="E48" s="132">
        <f t="shared" si="1"/>
        <v>-417925</v>
      </c>
    </row>
    <row r="49" spans="1:5" ht="15.75" customHeight="1">
      <c r="A49" s="117" t="s">
        <v>36</v>
      </c>
      <c r="B49" s="118">
        <v>1193500</v>
      </c>
      <c r="C49" s="118">
        <v>797575</v>
      </c>
      <c r="D49" s="119">
        <f t="shared" si="0"/>
        <v>66.82656053623795</v>
      </c>
      <c r="E49" s="120">
        <f t="shared" si="1"/>
        <v>-395925</v>
      </c>
    </row>
    <row r="50" spans="1:5" ht="14.25" customHeight="1">
      <c r="A50" s="85" t="s">
        <v>120</v>
      </c>
      <c r="B50" s="25">
        <v>758679</v>
      </c>
      <c r="C50" s="28">
        <v>543453.23</v>
      </c>
      <c r="D50" s="26">
        <f t="shared" si="0"/>
        <v>71.63151082341807</v>
      </c>
      <c r="E50" s="42">
        <f t="shared" si="1"/>
        <v>-215225.77000000002</v>
      </c>
    </row>
    <row r="51" spans="1:5" ht="14.2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16" t="s">
        <v>52</v>
      </c>
      <c r="B53" s="25">
        <f>B55+B54</f>
        <v>24000</v>
      </c>
      <c r="C53" s="25">
        <f>C55+C54</f>
        <v>2500</v>
      </c>
      <c r="D53" s="26">
        <f t="shared" si="0"/>
        <v>10.416666666666668</v>
      </c>
      <c r="E53" s="42">
        <f t="shared" si="1"/>
        <v>-21500</v>
      </c>
    </row>
    <row r="54" spans="1:5" ht="30.75" customHeight="1">
      <c r="A54" s="105" t="s">
        <v>244</v>
      </c>
      <c r="B54" s="25">
        <v>24000</v>
      </c>
      <c r="C54" s="27">
        <v>2500</v>
      </c>
      <c r="D54" s="26">
        <f t="shared" si="0"/>
        <v>10.416666666666668</v>
      </c>
      <c r="E54" s="42">
        <f t="shared" si="1"/>
        <v>-21500</v>
      </c>
    </row>
    <row r="55" spans="1:5" ht="24" customHeight="1" thickBot="1">
      <c r="A55" s="105" t="s">
        <v>237</v>
      </c>
      <c r="B55" s="25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14.25" customHeight="1" thickBot="1">
      <c r="A56" s="129" t="s">
        <v>49</v>
      </c>
      <c r="B56" s="250">
        <f>SUM(B57)</f>
        <v>90300</v>
      </c>
      <c r="C56" s="250">
        <f>SUM(C57)</f>
        <v>57980.77</v>
      </c>
      <c r="D56" s="131">
        <f t="shared" si="0"/>
        <v>64.20904761904761</v>
      </c>
      <c r="E56" s="132">
        <f t="shared" si="1"/>
        <v>-32319.230000000003</v>
      </c>
    </row>
    <row r="57" spans="1:5" ht="22.5" customHeight="1" thickBot="1">
      <c r="A57" s="121" t="s">
        <v>107</v>
      </c>
      <c r="B57" s="122">
        <v>90300</v>
      </c>
      <c r="C57" s="123">
        <v>57980.77</v>
      </c>
      <c r="D57" s="131">
        <f t="shared" si="0"/>
        <v>64.20904761904761</v>
      </c>
      <c r="E57" s="125">
        <f t="shared" si="1"/>
        <v>-32319.230000000003</v>
      </c>
    </row>
    <row r="58" spans="1:5" ht="17.25" customHeight="1" thickBot="1">
      <c r="A58" s="129" t="s">
        <v>37</v>
      </c>
      <c r="B58" s="130">
        <f>SUM(B59)</f>
        <v>400</v>
      </c>
      <c r="C58" s="130">
        <f>SUM(C59)</f>
        <v>400</v>
      </c>
      <c r="D58" s="131">
        <f t="shared" si="0"/>
        <v>100</v>
      </c>
      <c r="E58" s="132">
        <f t="shared" si="1"/>
        <v>0</v>
      </c>
    </row>
    <row r="59" spans="1:5" ht="15.75" customHeight="1">
      <c r="A59" s="75" t="s">
        <v>128</v>
      </c>
      <c r="B59" s="118">
        <v>400</v>
      </c>
      <c r="C59" s="126">
        <v>400</v>
      </c>
      <c r="D59" s="119">
        <f t="shared" si="0"/>
        <v>100</v>
      </c>
      <c r="E59" s="120">
        <f t="shared" si="1"/>
        <v>0</v>
      </c>
    </row>
    <row r="60" spans="1:5" ht="18.75" customHeight="1" thickBot="1">
      <c r="A60" s="147" t="s">
        <v>38</v>
      </c>
      <c r="B60" s="114">
        <f>B64+B61+B72</f>
        <v>1060727.97</v>
      </c>
      <c r="C60" s="114">
        <f>C64+C61+C72</f>
        <v>445837.9</v>
      </c>
      <c r="D60" s="112">
        <f t="shared" si="0"/>
        <v>42.03131364585399</v>
      </c>
      <c r="E60" s="113">
        <f t="shared" si="1"/>
        <v>-614890.07</v>
      </c>
    </row>
    <row r="61" spans="1:5" ht="18.75" customHeight="1" thickBot="1">
      <c r="A61" s="75" t="s">
        <v>165</v>
      </c>
      <c r="B61" s="99">
        <f>SUM(B62+B63)</f>
        <v>0</v>
      </c>
      <c r="C61" s="99">
        <f>SUM(C62+C63)</f>
        <v>0</v>
      </c>
      <c r="D61" s="112" t="str">
        <f>IF(B61=0,"   ",C61/B61*100)</f>
        <v>   </v>
      </c>
      <c r="E61" s="113">
        <f>C61-B61</f>
        <v>0</v>
      </c>
    </row>
    <row r="62" spans="1:5" ht="18.75" customHeight="1">
      <c r="A62" s="75" t="s">
        <v>166</v>
      </c>
      <c r="B62" s="122">
        <v>0</v>
      </c>
      <c r="C62" s="114">
        <v>0</v>
      </c>
      <c r="D62" s="112" t="str">
        <f>IF(B62=0,"   ",C62/B62*100)</f>
        <v>   </v>
      </c>
      <c r="E62" s="113">
        <f>C62-B62</f>
        <v>0</v>
      </c>
    </row>
    <row r="63" spans="1:5" ht="18.75" customHeight="1">
      <c r="A63" s="75" t="s">
        <v>189</v>
      </c>
      <c r="B63" s="122">
        <v>0</v>
      </c>
      <c r="C63" s="114">
        <v>0</v>
      </c>
      <c r="D63" s="112" t="str">
        <f>IF(B63=0,"   ",C63/B63*100)</f>
        <v>   </v>
      </c>
      <c r="E63" s="113">
        <f>C63-B63</f>
        <v>0</v>
      </c>
    </row>
    <row r="64" spans="1:5" ht="15" customHeight="1">
      <c r="A64" s="148" t="s">
        <v>131</v>
      </c>
      <c r="B64" s="25">
        <f>SUM(B65:B71)</f>
        <v>1015727.97</v>
      </c>
      <c r="C64" s="25">
        <f>SUM(C65:C71)</f>
        <v>437837.9</v>
      </c>
      <c r="D64" s="112">
        <f t="shared" si="0"/>
        <v>43.1058229104393</v>
      </c>
      <c r="E64" s="113">
        <f t="shared" si="1"/>
        <v>-577890.07</v>
      </c>
    </row>
    <row r="65" spans="1:5" ht="18.75" customHeight="1">
      <c r="A65" s="75" t="s">
        <v>149</v>
      </c>
      <c r="B65" s="25">
        <v>0</v>
      </c>
      <c r="C65" s="25">
        <v>0</v>
      </c>
      <c r="D65" s="112" t="str">
        <f t="shared" si="0"/>
        <v>   </v>
      </c>
      <c r="E65" s="113">
        <f t="shared" si="1"/>
        <v>0</v>
      </c>
    </row>
    <row r="66" spans="1:5" ht="30.75" customHeight="1">
      <c r="A66" s="71" t="s">
        <v>257</v>
      </c>
      <c r="B66" s="25">
        <v>348827.97</v>
      </c>
      <c r="C66" s="25">
        <v>0</v>
      </c>
      <c r="D66" s="112">
        <f>IF(B66=0,"   ",C66/B66*100)</f>
        <v>0</v>
      </c>
      <c r="E66" s="113">
        <f>C66-B66</f>
        <v>-348827.97</v>
      </c>
    </row>
    <row r="67" spans="1:5" ht="30" customHeight="1">
      <c r="A67" s="71" t="s">
        <v>258</v>
      </c>
      <c r="B67" s="25">
        <v>32400</v>
      </c>
      <c r="C67" s="25">
        <v>0</v>
      </c>
      <c r="D67" s="112">
        <f t="shared" si="0"/>
        <v>0</v>
      </c>
      <c r="E67" s="113">
        <f t="shared" si="1"/>
        <v>-32400</v>
      </c>
    </row>
    <row r="68" spans="1:5" ht="30" customHeight="1">
      <c r="A68" s="71" t="s">
        <v>259</v>
      </c>
      <c r="B68" s="25">
        <v>328400</v>
      </c>
      <c r="C68" s="25">
        <v>262727.1</v>
      </c>
      <c r="D68" s="112">
        <f t="shared" si="0"/>
        <v>80.00216199756393</v>
      </c>
      <c r="E68" s="113">
        <f t="shared" si="1"/>
        <v>-65672.90000000002</v>
      </c>
    </row>
    <row r="69" spans="1:5" ht="30" customHeight="1">
      <c r="A69" s="71" t="s">
        <v>260</v>
      </c>
      <c r="B69" s="25">
        <v>36500</v>
      </c>
      <c r="C69" s="25">
        <v>29191.9</v>
      </c>
      <c r="D69" s="112">
        <f t="shared" si="0"/>
        <v>79.97780821917809</v>
      </c>
      <c r="E69" s="113">
        <f t="shared" si="1"/>
        <v>-7308.0999999999985</v>
      </c>
    </row>
    <row r="70" spans="1:5" ht="30" customHeight="1">
      <c r="A70" s="71" t="s">
        <v>261</v>
      </c>
      <c r="B70" s="25">
        <v>242600</v>
      </c>
      <c r="C70" s="25">
        <v>131327</v>
      </c>
      <c r="D70" s="112">
        <f t="shared" si="0"/>
        <v>54.13314097279473</v>
      </c>
      <c r="E70" s="113">
        <f t="shared" si="1"/>
        <v>-111273</v>
      </c>
    </row>
    <row r="71" spans="1:5" ht="30" customHeight="1" thickBot="1">
      <c r="A71" s="71" t="s">
        <v>262</v>
      </c>
      <c r="B71" s="25">
        <v>27000</v>
      </c>
      <c r="C71" s="25">
        <v>14591.9</v>
      </c>
      <c r="D71" s="112">
        <f t="shared" si="0"/>
        <v>54.044074074074075</v>
      </c>
      <c r="E71" s="113">
        <f t="shared" si="1"/>
        <v>-12408.1</v>
      </c>
    </row>
    <row r="72" spans="1:5" ht="18" customHeight="1" thickBot="1">
      <c r="A72" s="96" t="s">
        <v>177</v>
      </c>
      <c r="B72" s="99">
        <f>SUM(B73)</f>
        <v>45000</v>
      </c>
      <c r="C72" s="99">
        <f>SUM(C73)</f>
        <v>8000</v>
      </c>
      <c r="D72" s="112">
        <f>IF(B72=0,"   ",C72/B72*100)</f>
        <v>17.77777777777778</v>
      </c>
      <c r="E72" s="113">
        <f>C72-B72</f>
        <v>-37000</v>
      </c>
    </row>
    <row r="73" spans="1:5" ht="31.5" customHeight="1">
      <c r="A73" s="75" t="s">
        <v>178</v>
      </c>
      <c r="B73" s="122">
        <v>45000</v>
      </c>
      <c r="C73" s="122">
        <v>8000</v>
      </c>
      <c r="D73" s="112">
        <f>IF(B73=0,"   ",C73/B73*100)</f>
        <v>17.77777777777778</v>
      </c>
      <c r="E73" s="113">
        <f>C73-B73</f>
        <v>-37000</v>
      </c>
    </row>
    <row r="74" spans="1:5" ht="20.25" customHeight="1" thickBot="1">
      <c r="A74" s="144" t="s">
        <v>13</v>
      </c>
      <c r="B74" s="185">
        <f>SUM(B78,B75)</f>
        <v>2110090</v>
      </c>
      <c r="C74" s="185">
        <f>SUM(C78,C75)</f>
        <v>42778.02</v>
      </c>
      <c r="D74" s="124">
        <f t="shared" si="0"/>
        <v>2.0273078399499544</v>
      </c>
      <c r="E74" s="125">
        <f t="shared" si="1"/>
        <v>-2067311.98</v>
      </c>
    </row>
    <row r="75" spans="1:5" ht="15" customHeight="1" thickBot="1">
      <c r="A75" s="41" t="s">
        <v>150</v>
      </c>
      <c r="B75" s="99">
        <f>SUM(B76+B77)</f>
        <v>1674790</v>
      </c>
      <c r="C75" s="99">
        <f>SUM(C76+C77)</f>
        <v>0</v>
      </c>
      <c r="D75" s="124">
        <f>IF(B75=0,"   ",C75/B75*100)</f>
        <v>0</v>
      </c>
      <c r="E75" s="125">
        <f>C75-B75</f>
        <v>-1674790</v>
      </c>
    </row>
    <row r="76" spans="1:5" ht="15" customHeight="1">
      <c r="A76" s="16" t="s">
        <v>301</v>
      </c>
      <c r="B76" s="25">
        <v>1571660</v>
      </c>
      <c r="C76" s="25">
        <v>0</v>
      </c>
      <c r="D76" s="124">
        <f>IF(B76=0,"   ",C76/B76*100)</f>
        <v>0</v>
      </c>
      <c r="E76" s="125">
        <f>C76-B76</f>
        <v>-1571660</v>
      </c>
    </row>
    <row r="77" spans="1:5" ht="15" customHeight="1">
      <c r="A77" s="16" t="s">
        <v>322</v>
      </c>
      <c r="B77" s="25">
        <v>103130</v>
      </c>
      <c r="C77" s="25">
        <v>0</v>
      </c>
      <c r="D77" s="124">
        <f>IF(B77=0,"   ",C77/B77*100)</f>
        <v>0</v>
      </c>
      <c r="E77" s="125">
        <f>C77-B77</f>
        <v>-103130</v>
      </c>
    </row>
    <row r="78" spans="1:5" ht="15" customHeight="1">
      <c r="A78" s="16" t="s">
        <v>58</v>
      </c>
      <c r="B78" s="25">
        <f>B79+B80+B81+B82+B86</f>
        <v>435300</v>
      </c>
      <c r="C78" s="25">
        <f>C79+C80+C81+C82+C86</f>
        <v>42778.02</v>
      </c>
      <c r="D78" s="26">
        <f t="shared" si="0"/>
        <v>9.827250172294969</v>
      </c>
      <c r="E78" s="42">
        <f t="shared" si="1"/>
        <v>-392521.98</v>
      </c>
    </row>
    <row r="79" spans="1:5" ht="15" customHeight="1">
      <c r="A79" s="16" t="s">
        <v>60</v>
      </c>
      <c r="B79" s="25">
        <v>185300</v>
      </c>
      <c r="C79" s="27">
        <v>42778.02</v>
      </c>
      <c r="D79" s="26">
        <f t="shared" si="0"/>
        <v>23.08581759309228</v>
      </c>
      <c r="E79" s="42">
        <f t="shared" si="1"/>
        <v>-142521.98</v>
      </c>
    </row>
    <row r="80" spans="1:5" ht="15" customHeight="1">
      <c r="A80" s="105" t="s">
        <v>59</v>
      </c>
      <c r="B80" s="114">
        <v>50000</v>
      </c>
      <c r="C80" s="115">
        <v>0</v>
      </c>
      <c r="D80" s="112">
        <f t="shared" si="0"/>
        <v>0</v>
      </c>
      <c r="E80" s="113">
        <f t="shared" si="1"/>
        <v>-50000</v>
      </c>
    </row>
    <row r="81" spans="1:5" ht="29.25" customHeight="1">
      <c r="A81" s="105" t="s">
        <v>167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1.75" customHeight="1">
      <c r="A82" s="105" t="s">
        <v>206</v>
      </c>
      <c r="B82" s="25">
        <f>SUM(B83+B84+B85)</f>
        <v>0</v>
      </c>
      <c r="C82" s="25">
        <f>SUM(C83+C84+C85)</f>
        <v>0</v>
      </c>
      <c r="D82" s="26" t="str">
        <f>IF(B82=0,"   ",C82/B82*100)</f>
        <v>   </v>
      </c>
      <c r="E82" s="27">
        <f>C82-B82</f>
        <v>0</v>
      </c>
    </row>
    <row r="83" spans="1:5" ht="29.25" customHeight="1">
      <c r="A83" s="105" t="s">
        <v>187</v>
      </c>
      <c r="B83" s="25">
        <v>0</v>
      </c>
      <c r="C83" s="27">
        <v>0</v>
      </c>
      <c r="D83" s="26" t="str">
        <f>IF(B83=0,"   ",C83/B83*100)</f>
        <v>   </v>
      </c>
      <c r="E83" s="27">
        <f>C83-B83</f>
        <v>0</v>
      </c>
    </row>
    <row r="84" spans="1:5" ht="29.25" customHeight="1">
      <c r="A84" s="105" t="s">
        <v>190</v>
      </c>
      <c r="B84" s="25">
        <v>0</v>
      </c>
      <c r="C84" s="27">
        <v>0</v>
      </c>
      <c r="D84" s="26" t="str">
        <f>IF(B84=0,"   ",C84/B84*100)</f>
        <v>   </v>
      </c>
      <c r="E84" s="27">
        <f>C84-B84</f>
        <v>0</v>
      </c>
    </row>
    <row r="85" spans="1:5" ht="29.25" customHeight="1">
      <c r="A85" s="105" t="s">
        <v>191</v>
      </c>
      <c r="B85" s="25">
        <v>0</v>
      </c>
      <c r="C85" s="27">
        <v>0</v>
      </c>
      <c r="D85" s="26" t="str">
        <f>IF(B85=0,"   ",C85/B85*100)</f>
        <v>   </v>
      </c>
      <c r="E85" s="27">
        <f>C85-B85</f>
        <v>0</v>
      </c>
    </row>
    <row r="86" spans="1:5" ht="28.5" customHeight="1" thickBot="1">
      <c r="A86" s="105" t="s">
        <v>302</v>
      </c>
      <c r="B86" s="25">
        <v>200000</v>
      </c>
      <c r="C86" s="27">
        <v>0</v>
      </c>
      <c r="D86" s="26">
        <f t="shared" si="0"/>
        <v>0</v>
      </c>
      <c r="E86" s="27">
        <f t="shared" si="1"/>
        <v>-200000</v>
      </c>
    </row>
    <row r="87" spans="1:5" ht="18.75" customHeight="1" thickBot="1">
      <c r="A87" s="133" t="s">
        <v>17</v>
      </c>
      <c r="B87" s="196">
        <v>8000</v>
      </c>
      <c r="C87" s="196">
        <v>0</v>
      </c>
      <c r="D87" s="145">
        <f t="shared" si="0"/>
        <v>0</v>
      </c>
      <c r="E87" s="146">
        <f t="shared" si="1"/>
        <v>-8000</v>
      </c>
    </row>
    <row r="88" spans="1:5" ht="19.5" customHeight="1" thickBot="1">
      <c r="A88" s="129" t="s">
        <v>41</v>
      </c>
      <c r="B88" s="184">
        <f>B89</f>
        <v>666900</v>
      </c>
      <c r="C88" s="184">
        <f>C89</f>
        <v>276606.6</v>
      </c>
      <c r="D88" s="131">
        <f t="shared" si="0"/>
        <v>41.476473234367965</v>
      </c>
      <c r="E88" s="132">
        <f t="shared" si="1"/>
        <v>-390293.4</v>
      </c>
    </row>
    <row r="89" spans="1:5" ht="12.75">
      <c r="A89" s="117" t="s">
        <v>42</v>
      </c>
      <c r="B89" s="118">
        <f>SUM(B90:B92)</f>
        <v>666900</v>
      </c>
      <c r="C89" s="118">
        <f>SUM(C90:C92)</f>
        <v>276606.6</v>
      </c>
      <c r="D89" s="119">
        <f t="shared" si="0"/>
        <v>41.476473234367965</v>
      </c>
      <c r="E89" s="120">
        <f t="shared" si="1"/>
        <v>-390293.4</v>
      </c>
    </row>
    <row r="90" spans="1:5" ht="12.75">
      <c r="A90" s="169" t="s">
        <v>143</v>
      </c>
      <c r="B90" s="118">
        <v>239400</v>
      </c>
      <c r="C90" s="126">
        <v>239400</v>
      </c>
      <c r="D90" s="119">
        <f t="shared" si="0"/>
        <v>100</v>
      </c>
      <c r="E90" s="120">
        <f t="shared" si="1"/>
        <v>0</v>
      </c>
    </row>
    <row r="91" spans="1:5" ht="12.75">
      <c r="A91" s="16" t="s">
        <v>224</v>
      </c>
      <c r="B91" s="118">
        <v>0</v>
      </c>
      <c r="C91" s="126">
        <v>0</v>
      </c>
      <c r="D91" s="119" t="str">
        <f t="shared" si="0"/>
        <v>   </v>
      </c>
      <c r="E91" s="120">
        <f t="shared" si="1"/>
        <v>0</v>
      </c>
    </row>
    <row r="92" spans="1:5" ht="12.75">
      <c r="A92" s="117" t="s">
        <v>204</v>
      </c>
      <c r="B92" s="118">
        <v>427500</v>
      </c>
      <c r="C92" s="126">
        <v>37206.6</v>
      </c>
      <c r="D92" s="119">
        <f t="shared" si="0"/>
        <v>8.703298245614034</v>
      </c>
      <c r="E92" s="120">
        <f t="shared" si="1"/>
        <v>-390293.4</v>
      </c>
    </row>
    <row r="93" spans="1:5" ht="18.75" customHeight="1">
      <c r="A93" s="16" t="s">
        <v>124</v>
      </c>
      <c r="B93" s="25">
        <f>SUM(B94,)</f>
        <v>10000</v>
      </c>
      <c r="C93" s="25">
        <f>SUM(C94,)</f>
        <v>5000</v>
      </c>
      <c r="D93" s="26">
        <f t="shared" si="0"/>
        <v>50</v>
      </c>
      <c r="E93" s="42">
        <f t="shared" si="1"/>
        <v>-5000</v>
      </c>
    </row>
    <row r="94" spans="1:5" ht="14.25" customHeight="1">
      <c r="A94" s="105" t="s">
        <v>43</v>
      </c>
      <c r="B94" s="114">
        <v>10000</v>
      </c>
      <c r="C94" s="116">
        <v>5000</v>
      </c>
      <c r="D94" s="112">
        <f t="shared" si="0"/>
        <v>50</v>
      </c>
      <c r="E94" s="113">
        <f t="shared" si="1"/>
        <v>-5000</v>
      </c>
    </row>
    <row r="95" spans="1:5" ht="22.5" customHeight="1">
      <c r="A95" s="173" t="s">
        <v>15</v>
      </c>
      <c r="B95" s="150">
        <f>SUM(B48,B56,B58,B60,B74,B87,B88,B93,)</f>
        <v>5164417.97</v>
      </c>
      <c r="C95" s="150">
        <f>SUM(C48,C56,C58,C60,C74,C87,C88,C93,)</f>
        <v>1628678.29</v>
      </c>
      <c r="D95" s="141">
        <f>IF(B95=0,"   ",C95/B95*100)</f>
        <v>31.536531308289906</v>
      </c>
      <c r="E95" s="142">
        <f t="shared" si="1"/>
        <v>-3535739.6799999997</v>
      </c>
    </row>
    <row r="96" spans="1:5" ht="18.75" customHeight="1">
      <c r="A96" s="80" t="s">
        <v>304</v>
      </c>
      <c r="B96" s="80"/>
      <c r="C96" s="307"/>
      <c r="D96" s="307"/>
      <c r="E96" s="307"/>
    </row>
    <row r="97" spans="1:5" ht="18" customHeight="1">
      <c r="A97" s="80" t="s">
        <v>154</v>
      </c>
      <c r="B97" s="80"/>
      <c r="C97" s="81" t="s">
        <v>247</v>
      </c>
      <c r="D97" s="82"/>
      <c r="E97" s="83"/>
    </row>
    <row r="98" spans="1:5" s="59" customFormat="1" ht="23.25" customHeight="1">
      <c r="A98" s="7"/>
      <c r="B98" s="7"/>
      <c r="C98" s="6"/>
      <c r="D98" s="7"/>
      <c r="E98" s="2"/>
    </row>
    <row r="99" spans="1:5" s="59" customFormat="1" ht="12" customHeight="1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</sheetData>
  <sheetProtection/>
  <mergeCells count="2">
    <mergeCell ref="A1:E1"/>
    <mergeCell ref="C96:E96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7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29">
      <selection activeCell="C45" sqref="C45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09" t="s">
        <v>311</v>
      </c>
      <c r="B1" s="309"/>
      <c r="C1" s="309"/>
      <c r="D1" s="309"/>
      <c r="E1" s="30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251</v>
      </c>
      <c r="C4" s="32" t="s">
        <v>312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17">
        <f>SUM(B8)</f>
        <v>50200</v>
      </c>
      <c r="C7" s="218">
        <f>SUM(C8)</f>
        <v>29158.89</v>
      </c>
      <c r="D7" s="26">
        <f aca="true" t="shared" si="0" ref="D7:D93">IF(B7=0,"   ",C7/B7*100)</f>
        <v>58.08543824701196</v>
      </c>
      <c r="E7" s="42">
        <f aca="true" t="shared" si="1" ref="E7:E94">C7-B7</f>
        <v>-21041.11</v>
      </c>
    </row>
    <row r="8" spans="1:5" ht="12.75" customHeight="1">
      <c r="A8" s="16" t="s">
        <v>44</v>
      </c>
      <c r="B8" s="219">
        <v>50200</v>
      </c>
      <c r="C8" s="239">
        <v>29158.89</v>
      </c>
      <c r="D8" s="26">
        <f t="shared" si="0"/>
        <v>58.08543824701196</v>
      </c>
      <c r="E8" s="42">
        <f t="shared" si="1"/>
        <v>-21041.11</v>
      </c>
    </row>
    <row r="9" spans="1:5" ht="12.75" customHeight="1">
      <c r="A9" s="64" t="s">
        <v>137</v>
      </c>
      <c r="B9" s="217">
        <f>SUM(B10)</f>
        <v>729400</v>
      </c>
      <c r="C9" s="220">
        <f>SUM(C10)</f>
        <v>444481.61</v>
      </c>
      <c r="D9" s="26">
        <f t="shared" si="0"/>
        <v>60.93797778996435</v>
      </c>
      <c r="E9" s="42">
        <f t="shared" si="1"/>
        <v>-284918.39</v>
      </c>
    </row>
    <row r="10" spans="1:5" ht="12.75" customHeight="1">
      <c r="A10" s="41" t="s">
        <v>138</v>
      </c>
      <c r="B10" s="219">
        <v>729400</v>
      </c>
      <c r="C10" s="239">
        <v>444481.61</v>
      </c>
      <c r="D10" s="26">
        <f t="shared" si="0"/>
        <v>60.93797778996435</v>
      </c>
      <c r="E10" s="42">
        <f t="shared" si="1"/>
        <v>-284918.39</v>
      </c>
    </row>
    <row r="11" spans="1:5" ht="16.5" customHeight="1">
      <c r="A11" s="16" t="s">
        <v>7</v>
      </c>
      <c r="B11" s="219">
        <f>SUM(B12:B12)</f>
        <v>15000</v>
      </c>
      <c r="C11" s="221">
        <f>SUM(C12:C12)</f>
        <v>16124.49</v>
      </c>
      <c r="D11" s="26">
        <f t="shared" si="0"/>
        <v>107.49660000000002</v>
      </c>
      <c r="E11" s="42">
        <f t="shared" si="1"/>
        <v>1124.4899999999998</v>
      </c>
    </row>
    <row r="12" spans="1:5" ht="16.5" customHeight="1">
      <c r="A12" s="16" t="s">
        <v>26</v>
      </c>
      <c r="B12" s="219">
        <v>15000</v>
      </c>
      <c r="C12" s="239">
        <v>16124.49</v>
      </c>
      <c r="D12" s="26">
        <f t="shared" si="0"/>
        <v>107.49660000000002</v>
      </c>
      <c r="E12" s="42">
        <f t="shared" si="1"/>
        <v>1124.4899999999998</v>
      </c>
    </row>
    <row r="13" spans="1:5" ht="15.75" customHeight="1">
      <c r="A13" s="16" t="s">
        <v>9</v>
      </c>
      <c r="B13" s="219">
        <f>SUM(B14:B15)</f>
        <v>533000</v>
      </c>
      <c r="C13" s="221">
        <f>SUM(C14:C15)</f>
        <v>66282.45</v>
      </c>
      <c r="D13" s="26">
        <f t="shared" si="0"/>
        <v>12.435731707317073</v>
      </c>
      <c r="E13" s="42">
        <f t="shared" si="1"/>
        <v>-466717.55</v>
      </c>
    </row>
    <row r="14" spans="1:5" ht="15.75" customHeight="1">
      <c r="A14" s="16" t="s">
        <v>27</v>
      </c>
      <c r="B14" s="219">
        <v>222000</v>
      </c>
      <c r="C14" s="239">
        <v>3372</v>
      </c>
      <c r="D14" s="26">
        <f t="shared" si="0"/>
        <v>1.518918918918919</v>
      </c>
      <c r="E14" s="42">
        <f t="shared" si="1"/>
        <v>-218628</v>
      </c>
    </row>
    <row r="15" spans="1:5" ht="14.25" customHeight="1">
      <c r="A15" s="41" t="s">
        <v>160</v>
      </c>
      <c r="B15" s="204">
        <f>SUM(B16:B17)</f>
        <v>311000</v>
      </c>
      <c r="C15" s="221">
        <f>SUM(C16:C17)</f>
        <v>62910.45</v>
      </c>
      <c r="D15" s="26">
        <f t="shared" si="0"/>
        <v>20.228440514469455</v>
      </c>
      <c r="E15" s="42">
        <f t="shared" si="1"/>
        <v>-248089.55</v>
      </c>
    </row>
    <row r="16" spans="1:5" ht="14.25" customHeight="1">
      <c r="A16" s="41" t="s">
        <v>161</v>
      </c>
      <c r="B16" s="204">
        <v>63000</v>
      </c>
      <c r="C16" s="239">
        <v>43539.94</v>
      </c>
      <c r="D16" s="26">
        <f t="shared" si="0"/>
        <v>69.11101587301587</v>
      </c>
      <c r="E16" s="42">
        <f t="shared" si="1"/>
        <v>-19460.059999999998</v>
      </c>
    </row>
    <row r="17" spans="1:5" ht="14.25" customHeight="1">
      <c r="A17" s="41" t="s">
        <v>162</v>
      </c>
      <c r="B17" s="204">
        <v>248000</v>
      </c>
      <c r="C17" s="239">
        <v>19370.51</v>
      </c>
      <c r="D17" s="26">
        <f t="shared" si="0"/>
        <v>7.810689516129031</v>
      </c>
      <c r="E17" s="42">
        <f t="shared" si="1"/>
        <v>-228629.49</v>
      </c>
    </row>
    <row r="18" spans="1:5" ht="14.25" customHeight="1">
      <c r="A18" s="41" t="s">
        <v>196</v>
      </c>
      <c r="B18" s="204">
        <v>0</v>
      </c>
      <c r="C18" s="239">
        <v>300</v>
      </c>
      <c r="D18" s="26" t="str">
        <f t="shared" si="0"/>
        <v>   </v>
      </c>
      <c r="E18" s="42">
        <f t="shared" si="1"/>
        <v>300</v>
      </c>
    </row>
    <row r="19" spans="1:5" ht="15" customHeight="1">
      <c r="A19" s="16" t="s">
        <v>88</v>
      </c>
      <c r="B19" s="219">
        <v>0</v>
      </c>
      <c r="C19" s="221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9">
        <f>SUM(B21:B22)</f>
        <v>180400</v>
      </c>
      <c r="C20" s="221">
        <f>SUM(C21:C22)</f>
        <v>91908.55</v>
      </c>
      <c r="D20" s="26">
        <f t="shared" si="0"/>
        <v>50.94708980044346</v>
      </c>
      <c r="E20" s="42">
        <f t="shared" si="1"/>
        <v>-88491.45</v>
      </c>
    </row>
    <row r="21" spans="1:5" ht="13.5" customHeight="1">
      <c r="A21" s="41" t="s">
        <v>152</v>
      </c>
      <c r="B21" s="219">
        <v>65700</v>
      </c>
      <c r="C21" s="239">
        <v>20177</v>
      </c>
      <c r="D21" s="26">
        <f t="shared" si="0"/>
        <v>30.71080669710807</v>
      </c>
      <c r="E21" s="42">
        <f t="shared" si="1"/>
        <v>-45523</v>
      </c>
    </row>
    <row r="22" spans="1:5" ht="15.75" customHeight="1">
      <c r="A22" s="16" t="s">
        <v>30</v>
      </c>
      <c r="B22" s="219">
        <v>114700</v>
      </c>
      <c r="C22" s="239">
        <v>71731.55</v>
      </c>
      <c r="D22" s="26">
        <f t="shared" si="0"/>
        <v>62.538404533565824</v>
      </c>
      <c r="E22" s="42">
        <f t="shared" si="1"/>
        <v>-42968.45</v>
      </c>
    </row>
    <row r="23" spans="1:5" ht="17.25" customHeight="1">
      <c r="A23" s="39" t="s">
        <v>91</v>
      </c>
      <c r="B23" s="219">
        <v>5300</v>
      </c>
      <c r="C23" s="239">
        <v>5315.31</v>
      </c>
      <c r="D23" s="26">
        <f t="shared" si="0"/>
        <v>100.28886792452832</v>
      </c>
      <c r="E23" s="42">
        <f t="shared" si="1"/>
        <v>15.3100000000004</v>
      </c>
    </row>
    <row r="24" spans="1:5" ht="18.75" customHeight="1">
      <c r="A24" s="16" t="s">
        <v>78</v>
      </c>
      <c r="B24" s="219">
        <f>SUM(B25)</f>
        <v>0</v>
      </c>
      <c r="C24" s="221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198</v>
      </c>
      <c r="B25" s="219">
        <v>0</v>
      </c>
      <c r="C25" s="241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9">
        <f>B27+B28</f>
        <v>0</v>
      </c>
      <c r="C26" s="221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9">
        <v>0</v>
      </c>
      <c r="C28" s="222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9">
        <v>0</v>
      </c>
      <c r="C29" s="221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3" t="s">
        <v>10</v>
      </c>
      <c r="B30" s="213">
        <f>SUM(B7,B9,B11,B13,B20,B23,B24,B26,B29,B18)</f>
        <v>1513300</v>
      </c>
      <c r="C30" s="213">
        <f>SUM(C7,C9,C11,C13,C20,C23,C24,C26,C29,C18)</f>
        <v>653571.3</v>
      </c>
      <c r="D30" s="141">
        <f t="shared" si="0"/>
        <v>43.188482125156945</v>
      </c>
      <c r="E30" s="142">
        <f t="shared" si="1"/>
        <v>-859728.7</v>
      </c>
    </row>
    <row r="31" spans="1:5" ht="21" customHeight="1">
      <c r="A31" s="190" t="s">
        <v>140</v>
      </c>
      <c r="B31" s="224">
        <f>SUM(B32:B35,B38:B42,B45)</f>
        <v>4916730.29</v>
      </c>
      <c r="C31" s="224">
        <f>SUM(C32:C35,C38:C42,C45)</f>
        <v>2227283.8</v>
      </c>
      <c r="D31" s="141">
        <f t="shared" si="0"/>
        <v>45.30010125896086</v>
      </c>
      <c r="E31" s="142">
        <f t="shared" si="1"/>
        <v>-2689446.49</v>
      </c>
    </row>
    <row r="32" spans="1:5" ht="18" customHeight="1">
      <c r="A32" s="17" t="s">
        <v>34</v>
      </c>
      <c r="B32" s="217">
        <v>1371200</v>
      </c>
      <c r="C32" s="242">
        <v>913210</v>
      </c>
      <c r="D32" s="26">
        <f t="shared" si="0"/>
        <v>66.59932905484247</v>
      </c>
      <c r="E32" s="42">
        <f t="shared" si="1"/>
        <v>-457990</v>
      </c>
    </row>
    <row r="33" spans="1:5" ht="18" customHeight="1">
      <c r="A33" s="17" t="s">
        <v>229</v>
      </c>
      <c r="B33" s="217">
        <v>0</v>
      </c>
      <c r="C33" s="242">
        <v>0</v>
      </c>
      <c r="D33" s="136" t="str">
        <f>IF(B33=0,"   ",C33/B33*100)</f>
        <v>   </v>
      </c>
      <c r="E33" s="137">
        <f>C33-B33</f>
        <v>0</v>
      </c>
    </row>
    <row r="34" spans="1:5" ht="28.5" customHeight="1">
      <c r="A34" s="134" t="s">
        <v>51</v>
      </c>
      <c r="B34" s="135">
        <v>90400</v>
      </c>
      <c r="C34" s="244">
        <v>62500</v>
      </c>
      <c r="D34" s="136">
        <f t="shared" si="0"/>
        <v>69.13716814159292</v>
      </c>
      <c r="E34" s="137">
        <f t="shared" si="1"/>
        <v>-27900</v>
      </c>
    </row>
    <row r="35" spans="1:5" ht="30.75" customHeight="1">
      <c r="A35" s="109" t="s">
        <v>148</v>
      </c>
      <c r="B35" s="135">
        <f>SUM(B36:B37)</f>
        <v>6700</v>
      </c>
      <c r="C35" s="135">
        <f>SUM(C36:C37)</f>
        <v>100</v>
      </c>
      <c r="D35" s="136">
        <f t="shared" si="0"/>
        <v>1.4925373134328357</v>
      </c>
      <c r="E35" s="137">
        <f t="shared" si="1"/>
        <v>-6600</v>
      </c>
    </row>
    <row r="36" spans="1:5" ht="16.5" customHeight="1">
      <c r="A36" s="109" t="s">
        <v>163</v>
      </c>
      <c r="B36" s="225">
        <v>100</v>
      </c>
      <c r="C36" s="231">
        <v>100</v>
      </c>
      <c r="D36" s="136">
        <f aca="true" t="shared" si="2" ref="D36:D41">IF(B36=0,"   ",C36/B36*100)</f>
        <v>100</v>
      </c>
      <c r="E36" s="137">
        <f aca="true" t="shared" si="3" ref="E36:E41">C36-B36</f>
        <v>0</v>
      </c>
    </row>
    <row r="37" spans="1:5" ht="30.75" customHeight="1">
      <c r="A37" s="109" t="s">
        <v>164</v>
      </c>
      <c r="B37" s="135">
        <v>6600</v>
      </c>
      <c r="C37" s="138">
        <v>0</v>
      </c>
      <c r="D37" s="136">
        <f t="shared" si="2"/>
        <v>0</v>
      </c>
      <c r="E37" s="137">
        <f t="shared" si="3"/>
        <v>-6600</v>
      </c>
    </row>
    <row r="38" spans="1:5" ht="25.5" customHeight="1">
      <c r="A38" s="16" t="s">
        <v>321</v>
      </c>
      <c r="B38" s="225">
        <v>1098884.49</v>
      </c>
      <c r="C38" s="225">
        <v>0</v>
      </c>
      <c r="D38" s="136">
        <f t="shared" si="2"/>
        <v>0</v>
      </c>
      <c r="E38" s="137">
        <f t="shared" si="3"/>
        <v>-1098884.49</v>
      </c>
    </row>
    <row r="39" spans="1:5" ht="25.5" customHeight="1">
      <c r="A39" s="16" t="s">
        <v>298</v>
      </c>
      <c r="B39" s="225">
        <v>900000</v>
      </c>
      <c r="C39" s="225">
        <v>0</v>
      </c>
      <c r="D39" s="136">
        <f t="shared" si="2"/>
        <v>0</v>
      </c>
      <c r="E39" s="137">
        <f t="shared" si="3"/>
        <v>-900000</v>
      </c>
    </row>
    <row r="40" spans="1:5" ht="51" customHeight="1">
      <c r="A40" s="16" t="s">
        <v>238</v>
      </c>
      <c r="B40" s="135">
        <v>706300</v>
      </c>
      <c r="C40" s="135">
        <v>706300</v>
      </c>
      <c r="D40" s="136">
        <f t="shared" si="2"/>
        <v>100</v>
      </c>
      <c r="E40" s="137">
        <f t="shared" si="3"/>
        <v>0</v>
      </c>
    </row>
    <row r="41" spans="1:5" ht="22.5" customHeight="1">
      <c r="A41" s="16" t="s">
        <v>279</v>
      </c>
      <c r="B41" s="135">
        <v>0</v>
      </c>
      <c r="C41" s="135">
        <v>0</v>
      </c>
      <c r="D41" s="136" t="str">
        <f t="shared" si="2"/>
        <v>   </v>
      </c>
      <c r="E41" s="137">
        <f t="shared" si="3"/>
        <v>0</v>
      </c>
    </row>
    <row r="42" spans="1:5" ht="15" customHeight="1">
      <c r="A42" s="16" t="s">
        <v>81</v>
      </c>
      <c r="B42" s="219">
        <f>B44+B43</f>
        <v>524700</v>
      </c>
      <c r="C42" s="219">
        <f>C44+C43</f>
        <v>326628</v>
      </c>
      <c r="D42" s="26">
        <f t="shared" si="0"/>
        <v>62.25042881646655</v>
      </c>
      <c r="E42" s="42">
        <f t="shared" si="1"/>
        <v>-198072</v>
      </c>
    </row>
    <row r="43" spans="1:5" ht="15" customHeight="1">
      <c r="A43" s="46" t="s">
        <v>188</v>
      </c>
      <c r="B43" s="219">
        <v>73600</v>
      </c>
      <c r="C43" s="219">
        <v>0</v>
      </c>
      <c r="D43" s="26">
        <f t="shared" si="0"/>
        <v>0</v>
      </c>
      <c r="E43" s="42">
        <f t="shared" si="1"/>
        <v>-73600</v>
      </c>
    </row>
    <row r="44" spans="1:5" s="7" customFormat="1" ht="15" customHeight="1">
      <c r="A44" s="46" t="s">
        <v>109</v>
      </c>
      <c r="B44" s="227">
        <v>451100</v>
      </c>
      <c r="C44" s="227">
        <v>326628</v>
      </c>
      <c r="D44" s="136">
        <f>IF(B44=0,"   ",C44/B44*100)</f>
        <v>72.40700509864774</v>
      </c>
      <c r="E44" s="137">
        <f>C44-B44</f>
        <v>-124472</v>
      </c>
    </row>
    <row r="45" spans="1:5" s="7" customFormat="1" ht="15" customHeight="1">
      <c r="A45" s="16" t="s">
        <v>199</v>
      </c>
      <c r="B45" s="227">
        <v>218545.8</v>
      </c>
      <c r="C45" s="227">
        <v>218545.8</v>
      </c>
      <c r="D45" s="47">
        <f t="shared" si="0"/>
        <v>100</v>
      </c>
      <c r="E45" s="40">
        <f t="shared" si="1"/>
        <v>0</v>
      </c>
    </row>
    <row r="46" spans="1:5" ht="21" customHeight="1">
      <c r="A46" s="173" t="s">
        <v>11</v>
      </c>
      <c r="B46" s="213">
        <f>SUM(B30:B31,)</f>
        <v>6430030.29</v>
      </c>
      <c r="C46" s="213">
        <f>SUM(C30:C31,)</f>
        <v>2880855.0999999996</v>
      </c>
      <c r="D46" s="26">
        <f t="shared" si="0"/>
        <v>44.80313420109876</v>
      </c>
      <c r="E46" s="42">
        <f t="shared" si="1"/>
        <v>-3549175.1900000004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1210900</v>
      </c>
      <c r="C48" s="25">
        <f>SUM(C49,C52,C53)</f>
        <v>807702.13</v>
      </c>
      <c r="D48" s="26">
        <f t="shared" si="0"/>
        <v>66.70262862333801</v>
      </c>
      <c r="E48" s="42">
        <f t="shared" si="1"/>
        <v>-403197.87</v>
      </c>
    </row>
    <row r="49" spans="1:5" ht="15" customHeight="1">
      <c r="A49" s="16" t="s">
        <v>36</v>
      </c>
      <c r="B49" s="25">
        <v>1170400</v>
      </c>
      <c r="C49" s="25">
        <v>767702.13</v>
      </c>
      <c r="D49" s="26">
        <f t="shared" si="0"/>
        <v>65.59314166097062</v>
      </c>
      <c r="E49" s="42">
        <f t="shared" si="1"/>
        <v>-402697.87</v>
      </c>
    </row>
    <row r="50" spans="1:5" ht="15" customHeight="1">
      <c r="A50" s="85" t="s">
        <v>121</v>
      </c>
      <c r="B50" s="25">
        <v>752995</v>
      </c>
      <c r="C50" s="28">
        <v>524049.3</v>
      </c>
      <c r="D50" s="26">
        <f t="shared" si="0"/>
        <v>69.59532267810543</v>
      </c>
      <c r="E50" s="42">
        <f t="shared" si="1"/>
        <v>-228945.7</v>
      </c>
    </row>
    <row r="51" spans="1:5" ht="1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40000</v>
      </c>
      <c r="D53" s="26">
        <f t="shared" si="0"/>
        <v>100</v>
      </c>
      <c r="E53" s="42">
        <f t="shared" si="1"/>
        <v>0</v>
      </c>
    </row>
    <row r="54" spans="1:5" ht="18.75" customHeight="1">
      <c r="A54" s="105" t="s">
        <v>236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5" t="s">
        <v>248</v>
      </c>
      <c r="B55" s="25">
        <v>40000</v>
      </c>
      <c r="C55" s="27">
        <v>40000</v>
      </c>
      <c r="D55" s="26">
        <f t="shared" si="0"/>
        <v>100</v>
      </c>
      <c r="E55" s="42">
        <f t="shared" si="1"/>
        <v>0</v>
      </c>
    </row>
    <row r="56" spans="1:5" ht="21.75" customHeight="1">
      <c r="A56" s="16" t="s">
        <v>49</v>
      </c>
      <c r="B56" s="27">
        <f>SUM(B57)</f>
        <v>90400</v>
      </c>
      <c r="C56" s="27">
        <f>SUM(C57)</f>
        <v>60027.61</v>
      </c>
      <c r="D56" s="26">
        <f t="shared" si="0"/>
        <v>66.40222345132743</v>
      </c>
      <c r="E56" s="42">
        <f t="shared" si="1"/>
        <v>-30372.39</v>
      </c>
    </row>
    <row r="57" spans="1:5" ht="13.5" customHeight="1">
      <c r="A57" s="39" t="s">
        <v>107</v>
      </c>
      <c r="B57" s="25">
        <v>90400</v>
      </c>
      <c r="C57" s="27">
        <v>60027.61</v>
      </c>
      <c r="D57" s="26">
        <f t="shared" si="0"/>
        <v>66.40222345132743</v>
      </c>
      <c r="E57" s="42">
        <f t="shared" si="1"/>
        <v>-30372.39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2096481.26</v>
      </c>
      <c r="C60" s="25">
        <f>SUM(C64,C61,C72)</f>
        <v>1369874.47</v>
      </c>
      <c r="D60" s="26">
        <f t="shared" si="0"/>
        <v>65.34160338738253</v>
      </c>
      <c r="E60" s="42">
        <f t="shared" si="1"/>
        <v>-726606.79</v>
      </c>
    </row>
    <row r="61" spans="1:5" ht="18.75" customHeight="1">
      <c r="A61" s="75" t="s">
        <v>165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166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189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2000881.26</v>
      </c>
      <c r="C64" s="25">
        <f>SUM(C65:C71)</f>
        <v>1338874.47</v>
      </c>
      <c r="D64" s="26">
        <f t="shared" si="0"/>
        <v>66.9142390788347</v>
      </c>
      <c r="E64" s="42">
        <f t="shared" si="1"/>
        <v>-662006.79</v>
      </c>
    </row>
    <row r="65" spans="1:5" ht="17.25" customHeight="1">
      <c r="A65" s="75" t="s">
        <v>149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257</v>
      </c>
      <c r="B66" s="25">
        <v>456081.26</v>
      </c>
      <c r="C66" s="25">
        <v>0</v>
      </c>
      <c r="D66" s="26">
        <f t="shared" si="0"/>
        <v>0</v>
      </c>
      <c r="E66" s="42">
        <f t="shared" si="1"/>
        <v>-456081.26</v>
      </c>
    </row>
    <row r="67" spans="1:5" ht="24" customHeight="1">
      <c r="A67" s="71" t="s">
        <v>258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259</v>
      </c>
      <c r="B68" s="25">
        <v>706300</v>
      </c>
      <c r="C68" s="25">
        <v>706300</v>
      </c>
      <c r="D68" s="26">
        <f t="shared" si="0"/>
        <v>100</v>
      </c>
      <c r="E68" s="42">
        <f t="shared" si="1"/>
        <v>0</v>
      </c>
    </row>
    <row r="69" spans="1:5" ht="24" customHeight="1">
      <c r="A69" s="71" t="s">
        <v>260</v>
      </c>
      <c r="B69" s="25">
        <v>78500</v>
      </c>
      <c r="C69" s="25">
        <v>78500</v>
      </c>
      <c r="D69" s="26">
        <f t="shared" si="0"/>
        <v>100</v>
      </c>
      <c r="E69" s="42">
        <f t="shared" si="1"/>
        <v>0</v>
      </c>
    </row>
    <row r="70" spans="1:5" ht="24" customHeight="1">
      <c r="A70" s="71" t="s">
        <v>261</v>
      </c>
      <c r="B70" s="25">
        <v>451100</v>
      </c>
      <c r="C70" s="25">
        <v>326628</v>
      </c>
      <c r="D70" s="26">
        <f t="shared" si="0"/>
        <v>72.40700509864774</v>
      </c>
      <c r="E70" s="42">
        <f t="shared" si="1"/>
        <v>-124472</v>
      </c>
    </row>
    <row r="71" spans="1:5" ht="26.25" customHeight="1">
      <c r="A71" s="71" t="s">
        <v>262</v>
      </c>
      <c r="B71" s="25">
        <v>50200</v>
      </c>
      <c r="C71" s="25">
        <v>36292</v>
      </c>
      <c r="D71" s="26">
        <f t="shared" si="0"/>
        <v>72.29482071713147</v>
      </c>
      <c r="E71" s="42">
        <f t="shared" si="1"/>
        <v>-13908</v>
      </c>
    </row>
    <row r="72" spans="1:5" ht="26.25" customHeight="1">
      <c r="A72" s="96" t="s">
        <v>177</v>
      </c>
      <c r="B72" s="25">
        <f>B73</f>
        <v>89000</v>
      </c>
      <c r="C72" s="25">
        <f>C73</f>
        <v>31000</v>
      </c>
      <c r="D72" s="26">
        <f>IF(B72=0,"   ",C72/B72*100)</f>
        <v>34.831460674157306</v>
      </c>
      <c r="E72" s="42">
        <f>C72-B72</f>
        <v>-58000</v>
      </c>
    </row>
    <row r="73" spans="1:5" ht="26.25" customHeight="1">
      <c r="A73" s="75" t="s">
        <v>178</v>
      </c>
      <c r="B73" s="25">
        <v>89000</v>
      </c>
      <c r="C73" s="25">
        <v>31000</v>
      </c>
      <c r="D73" s="26">
        <f>IF(B73=0,"   ",C73/B73*100)</f>
        <v>34.831460674157306</v>
      </c>
      <c r="E73" s="42">
        <f>C73-B73</f>
        <v>-58000</v>
      </c>
    </row>
    <row r="74" spans="1:5" ht="20.25" customHeight="1">
      <c r="A74" s="16" t="s">
        <v>13</v>
      </c>
      <c r="B74" s="25">
        <f>B76+B75</f>
        <v>1182360.58</v>
      </c>
      <c r="C74" s="25">
        <f>C76+C75</f>
        <v>166060.58000000002</v>
      </c>
      <c r="D74" s="26">
        <f t="shared" si="0"/>
        <v>14.04483393720721</v>
      </c>
      <c r="E74" s="42">
        <f t="shared" si="1"/>
        <v>-1016300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1182360.58</v>
      </c>
      <c r="C76" s="25">
        <f>C77+C78+C83+C79</f>
        <v>166060.58000000002</v>
      </c>
      <c r="D76" s="26">
        <f t="shared" si="0"/>
        <v>14.04483393720721</v>
      </c>
      <c r="E76" s="42">
        <f t="shared" si="1"/>
        <v>-1016300</v>
      </c>
    </row>
    <row r="77" spans="1:5" ht="12.75" customHeight="1">
      <c r="A77" s="16" t="s">
        <v>100</v>
      </c>
      <c r="B77" s="25">
        <v>117000</v>
      </c>
      <c r="C77" s="25">
        <v>117000</v>
      </c>
      <c r="D77" s="26">
        <f t="shared" si="0"/>
        <v>100</v>
      </c>
      <c r="E77" s="42">
        <f t="shared" si="1"/>
        <v>0</v>
      </c>
    </row>
    <row r="78" spans="1:5" ht="12.75" customHeight="1">
      <c r="A78" s="16" t="s">
        <v>61</v>
      </c>
      <c r="B78" s="25">
        <v>42700</v>
      </c>
      <c r="C78" s="27">
        <v>0</v>
      </c>
      <c r="D78" s="26">
        <v>0</v>
      </c>
      <c r="E78" s="42">
        <f t="shared" si="1"/>
        <v>-42700</v>
      </c>
    </row>
    <row r="79" spans="1:5" ht="12.75" customHeight="1">
      <c r="A79" s="105" t="s">
        <v>208</v>
      </c>
      <c r="B79" s="25">
        <f>SUM(B80:B82)</f>
        <v>122660.58000000002</v>
      </c>
      <c r="C79" s="25">
        <f>SUM(C80:C82)</f>
        <v>49060.58</v>
      </c>
      <c r="D79" s="26">
        <v>0</v>
      </c>
      <c r="E79" s="42">
        <f>C79-B79</f>
        <v>-73600.00000000001</v>
      </c>
    </row>
    <row r="80" spans="1:5" ht="29.25" customHeight="1">
      <c r="A80" s="105" t="s">
        <v>209</v>
      </c>
      <c r="B80" s="25">
        <v>73600</v>
      </c>
      <c r="C80" s="27">
        <v>0</v>
      </c>
      <c r="D80" s="26">
        <f t="shared" si="0"/>
        <v>0</v>
      </c>
      <c r="E80" s="27">
        <f t="shared" si="1"/>
        <v>-73600</v>
      </c>
    </row>
    <row r="81" spans="1:5" ht="25.5" customHeight="1">
      <c r="A81" s="105" t="s">
        <v>210</v>
      </c>
      <c r="B81" s="25">
        <v>24530.29</v>
      </c>
      <c r="C81" s="27">
        <v>24530.29</v>
      </c>
      <c r="D81" s="26">
        <f t="shared" si="0"/>
        <v>100</v>
      </c>
      <c r="E81" s="27">
        <f t="shared" si="1"/>
        <v>0</v>
      </c>
    </row>
    <row r="82" spans="1:5" ht="23.25" customHeight="1">
      <c r="A82" s="105" t="s">
        <v>211</v>
      </c>
      <c r="B82" s="25">
        <v>24530.29</v>
      </c>
      <c r="C82" s="27">
        <v>24530.29</v>
      </c>
      <c r="D82" s="26">
        <f t="shared" si="0"/>
        <v>100</v>
      </c>
      <c r="E82" s="27">
        <f t="shared" si="1"/>
        <v>0</v>
      </c>
    </row>
    <row r="83" spans="1:5" ht="19.5" customHeight="1">
      <c r="A83" s="105" t="s">
        <v>302</v>
      </c>
      <c r="B83" s="122">
        <v>900000</v>
      </c>
      <c r="C83" s="123">
        <v>0</v>
      </c>
      <c r="D83" s="26">
        <f t="shared" si="0"/>
        <v>0</v>
      </c>
      <c r="E83" s="125">
        <f t="shared" si="1"/>
        <v>-900000</v>
      </c>
    </row>
    <row r="84" spans="1:5" ht="20.25" customHeight="1">
      <c r="A84" s="35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8" customHeight="1">
      <c r="A85" s="16" t="s">
        <v>41</v>
      </c>
      <c r="B85" s="24">
        <f>B86</f>
        <v>671935</v>
      </c>
      <c r="C85" s="24">
        <f>C86</f>
        <v>162480</v>
      </c>
      <c r="D85" s="26">
        <f t="shared" si="0"/>
        <v>24.180910355912403</v>
      </c>
      <c r="E85" s="42">
        <f t="shared" si="1"/>
        <v>-509455</v>
      </c>
    </row>
    <row r="86" spans="1:5" ht="12.75" customHeight="1">
      <c r="A86" s="16" t="s">
        <v>42</v>
      </c>
      <c r="B86" s="25">
        <v>671935</v>
      </c>
      <c r="C86" s="27">
        <v>162480</v>
      </c>
      <c r="D86" s="26">
        <f t="shared" si="0"/>
        <v>24.180910355912403</v>
      </c>
      <c r="E86" s="42">
        <f t="shared" si="1"/>
        <v>-509455</v>
      </c>
    </row>
    <row r="87" spans="1:5" ht="16.5" customHeight="1">
      <c r="A87" s="16" t="s">
        <v>124</v>
      </c>
      <c r="B87" s="25">
        <f>SUM(B88:B89)</f>
        <v>1304900</v>
      </c>
      <c r="C87" s="25">
        <f>SUM(C88:C89)</f>
        <v>194015.51</v>
      </c>
      <c r="D87" s="26">
        <f t="shared" si="0"/>
        <v>14.868228216721588</v>
      </c>
      <c r="E87" s="42">
        <f t="shared" si="1"/>
        <v>-1110884.49</v>
      </c>
    </row>
    <row r="88" spans="1:5" ht="16.5" customHeight="1">
      <c r="A88" s="16" t="s">
        <v>43</v>
      </c>
      <c r="B88" s="25">
        <v>12000</v>
      </c>
      <c r="C88" s="25">
        <v>0</v>
      </c>
      <c r="D88" s="26">
        <f>IF(B88=0,"   ",C88/B88*100)</f>
        <v>0</v>
      </c>
      <c r="E88" s="42">
        <f>C88-B88</f>
        <v>-12000</v>
      </c>
    </row>
    <row r="89" spans="1:5" ht="18.75" customHeight="1">
      <c r="A89" s="292" t="s">
        <v>274</v>
      </c>
      <c r="B89" s="25">
        <f>SUM(B90:B93)</f>
        <v>1292900</v>
      </c>
      <c r="C89" s="25">
        <f>SUM(C90:C93)</f>
        <v>194015.51</v>
      </c>
      <c r="D89" s="26">
        <f>IF(B89=0,"   ",C89/B89*100)</f>
        <v>15.006227086394928</v>
      </c>
      <c r="E89" s="42">
        <f>C89-B89</f>
        <v>-1098884.49</v>
      </c>
    </row>
    <row r="90" spans="1:5" ht="16.5" customHeight="1">
      <c r="A90" s="292" t="s">
        <v>275</v>
      </c>
      <c r="B90" s="25">
        <v>895900</v>
      </c>
      <c r="C90" s="25">
        <v>0</v>
      </c>
      <c r="D90" s="26">
        <f>IF(B90=0,"   ",C90/B90*100)</f>
        <v>0</v>
      </c>
      <c r="E90" s="42">
        <f>C90-B90</f>
        <v>-895900</v>
      </c>
    </row>
    <row r="91" spans="1:5" ht="18" customHeight="1">
      <c r="A91" s="292" t="s">
        <v>276</v>
      </c>
      <c r="B91" s="25">
        <v>9049.49</v>
      </c>
      <c r="C91" s="25">
        <v>0</v>
      </c>
      <c r="D91" s="26">
        <f>IF(B91=0,"   ",C91/B91*100)</f>
        <v>0</v>
      </c>
      <c r="E91" s="42">
        <f>C91-B91</f>
        <v>-9049.49</v>
      </c>
    </row>
    <row r="92" spans="1:5" ht="15.75" customHeight="1">
      <c r="A92" s="292" t="s">
        <v>277</v>
      </c>
      <c r="B92" s="25">
        <v>193935</v>
      </c>
      <c r="C92" s="25">
        <v>0</v>
      </c>
      <c r="D92" s="26">
        <f>IF(B92=0,"   ",C92/B92*100)</f>
        <v>0</v>
      </c>
      <c r="E92" s="42">
        <f>C92-B92</f>
        <v>-193935</v>
      </c>
    </row>
    <row r="93" spans="1:5" ht="12.75" customHeight="1">
      <c r="A93" s="292" t="s">
        <v>278</v>
      </c>
      <c r="B93" s="25">
        <v>194015.51</v>
      </c>
      <c r="C93" s="28">
        <v>194015.51</v>
      </c>
      <c r="D93" s="26">
        <f t="shared" si="0"/>
        <v>100</v>
      </c>
      <c r="E93" s="42">
        <f t="shared" si="1"/>
        <v>0</v>
      </c>
    </row>
    <row r="94" spans="1:5" ht="22.5" customHeight="1">
      <c r="A94" s="173" t="s">
        <v>15</v>
      </c>
      <c r="B94" s="150">
        <f>SUM(B48,B56,B58,B60,B74,B84,B85,B87,)</f>
        <v>6565976.84</v>
      </c>
      <c r="C94" s="150">
        <f>SUM(C48,C56,C58,C60,C74,C84,C85,C87,)</f>
        <v>2761160.3</v>
      </c>
      <c r="D94" s="141">
        <f>IF(B94=0,"   ",C94/B94*100)</f>
        <v>42.05254400501357</v>
      </c>
      <c r="E94" s="142">
        <f t="shared" si="1"/>
        <v>-3804816.54</v>
      </c>
    </row>
    <row r="95" spans="1:5" s="59" customFormat="1" ht="23.25" customHeight="1">
      <c r="A95" s="80" t="s">
        <v>304</v>
      </c>
      <c r="B95" s="80"/>
      <c r="C95" s="307"/>
      <c r="D95" s="307"/>
      <c r="E95" s="307"/>
    </row>
    <row r="96" spans="1:5" s="59" customFormat="1" ht="18" customHeight="1">
      <c r="A96" s="80" t="s">
        <v>154</v>
      </c>
      <c r="B96" s="80"/>
      <c r="C96" s="310" t="s">
        <v>247</v>
      </c>
      <c r="D96" s="310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3">
    <mergeCell ref="A1:E1"/>
    <mergeCell ref="C95:E95"/>
    <mergeCell ref="C96:D96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09" t="s">
        <v>313</v>
      </c>
      <c r="B1" s="309"/>
      <c r="C1" s="309"/>
      <c r="D1" s="309"/>
      <c r="E1" s="30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312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1" t="s">
        <v>45</v>
      </c>
      <c r="B7" s="149">
        <f>SUM(B8)</f>
        <v>56700</v>
      </c>
      <c r="C7" s="149">
        <f>SUM(C8)</f>
        <v>43505.45</v>
      </c>
      <c r="D7" s="139">
        <f aca="true" t="shared" si="0" ref="D7:D94">IF(B7=0,"   ",C7/B7*100)</f>
        <v>76.72918871252205</v>
      </c>
      <c r="E7" s="140">
        <f aca="true" t="shared" si="1" ref="E7:E95">C7-B7</f>
        <v>-13194.550000000003</v>
      </c>
    </row>
    <row r="8" spans="1:5" ht="12" customHeight="1">
      <c r="A8" s="85" t="s">
        <v>44</v>
      </c>
      <c r="B8" s="84">
        <v>56700</v>
      </c>
      <c r="C8" s="243">
        <v>43505.45</v>
      </c>
      <c r="D8" s="139">
        <f t="shared" si="0"/>
        <v>76.72918871252205</v>
      </c>
      <c r="E8" s="140">
        <f t="shared" si="1"/>
        <v>-13194.550000000003</v>
      </c>
    </row>
    <row r="9" spans="1:5" ht="16.5" customHeight="1">
      <c r="A9" s="151" t="s">
        <v>137</v>
      </c>
      <c r="B9" s="200">
        <f>SUM(B10)</f>
        <v>1082700</v>
      </c>
      <c r="C9" s="200">
        <f>SUM(C10)</f>
        <v>659753.15</v>
      </c>
      <c r="D9" s="139">
        <f t="shared" si="0"/>
        <v>60.93591484252332</v>
      </c>
      <c r="E9" s="140">
        <f t="shared" si="1"/>
        <v>-422946.85</v>
      </c>
    </row>
    <row r="10" spans="1:5" ht="11.25" customHeight="1">
      <c r="A10" s="85" t="s">
        <v>138</v>
      </c>
      <c r="B10" s="201">
        <v>1082700</v>
      </c>
      <c r="C10" s="243">
        <v>659753.15</v>
      </c>
      <c r="D10" s="139">
        <f t="shared" si="0"/>
        <v>60.93591484252332</v>
      </c>
      <c r="E10" s="140">
        <f t="shared" si="1"/>
        <v>-422946.85</v>
      </c>
    </row>
    <row r="11" spans="1:5" ht="12.75">
      <c r="A11" s="85" t="s">
        <v>7</v>
      </c>
      <c r="B11" s="201">
        <f>SUM(B12:B12)</f>
        <v>56400</v>
      </c>
      <c r="C11" s="201">
        <f>SUM(C12:C12)</f>
        <v>36330.82</v>
      </c>
      <c r="D11" s="139">
        <f t="shared" si="0"/>
        <v>64.4163475177305</v>
      </c>
      <c r="E11" s="140">
        <f t="shared" si="1"/>
        <v>-20069.18</v>
      </c>
    </row>
    <row r="12" spans="1:5" ht="16.5" customHeight="1">
      <c r="A12" s="85" t="s">
        <v>26</v>
      </c>
      <c r="B12" s="201">
        <v>56400</v>
      </c>
      <c r="C12" s="243">
        <v>36330.82</v>
      </c>
      <c r="D12" s="139">
        <f t="shared" si="0"/>
        <v>64.4163475177305</v>
      </c>
      <c r="E12" s="140">
        <f t="shared" si="1"/>
        <v>-20069.18</v>
      </c>
    </row>
    <row r="13" spans="1:5" ht="16.5" customHeight="1">
      <c r="A13" s="85" t="s">
        <v>9</v>
      </c>
      <c r="B13" s="201">
        <f>SUM(B14:B15)</f>
        <v>412000</v>
      </c>
      <c r="C13" s="201">
        <f>SUM(C14:C15)</f>
        <v>30074.370000000003</v>
      </c>
      <c r="D13" s="139">
        <f t="shared" si="0"/>
        <v>7.299604368932039</v>
      </c>
      <c r="E13" s="140">
        <f t="shared" si="1"/>
        <v>-381925.63</v>
      </c>
    </row>
    <row r="14" spans="1:5" ht="15" customHeight="1">
      <c r="A14" s="85" t="s">
        <v>27</v>
      </c>
      <c r="B14" s="201">
        <v>177000</v>
      </c>
      <c r="C14" s="243">
        <v>7481.4</v>
      </c>
      <c r="D14" s="139">
        <f t="shared" si="0"/>
        <v>4.226779661016948</v>
      </c>
      <c r="E14" s="140">
        <f t="shared" si="1"/>
        <v>-169518.6</v>
      </c>
    </row>
    <row r="15" spans="1:5" ht="15.75" customHeight="1">
      <c r="A15" s="41" t="s">
        <v>160</v>
      </c>
      <c r="B15" s="201">
        <f>SUM(B16:B17)</f>
        <v>235000</v>
      </c>
      <c r="C15" s="201">
        <f>SUM(C16:C17)</f>
        <v>22592.97</v>
      </c>
      <c r="D15" s="139">
        <f t="shared" si="0"/>
        <v>9.614029787234044</v>
      </c>
      <c r="E15" s="140">
        <f t="shared" si="1"/>
        <v>-212407.03</v>
      </c>
    </row>
    <row r="16" spans="1:5" ht="14.25" customHeight="1">
      <c r="A16" s="41" t="s">
        <v>161</v>
      </c>
      <c r="B16" s="201">
        <v>29000</v>
      </c>
      <c r="C16" s="243">
        <v>13063.63</v>
      </c>
      <c r="D16" s="139">
        <f t="shared" si="0"/>
        <v>45.047</v>
      </c>
      <c r="E16" s="140">
        <f t="shared" si="1"/>
        <v>-15936.37</v>
      </c>
    </row>
    <row r="17" spans="1:5" ht="12.75" customHeight="1">
      <c r="A17" s="41" t="s">
        <v>162</v>
      </c>
      <c r="B17" s="201">
        <v>206000</v>
      </c>
      <c r="C17" s="243">
        <v>9529.34</v>
      </c>
      <c r="D17" s="139">
        <f t="shared" si="0"/>
        <v>4.6258932038834955</v>
      </c>
      <c r="E17" s="140">
        <f t="shared" si="1"/>
        <v>-196470.66</v>
      </c>
    </row>
    <row r="18" spans="1:5" ht="12.75" customHeight="1">
      <c r="A18" s="41" t="s">
        <v>196</v>
      </c>
      <c r="B18" s="201">
        <v>0</v>
      </c>
      <c r="C18" s="243">
        <v>900</v>
      </c>
      <c r="D18" s="139" t="str">
        <f t="shared" si="0"/>
        <v>   </v>
      </c>
      <c r="E18" s="140">
        <f t="shared" si="1"/>
        <v>900</v>
      </c>
    </row>
    <row r="19" spans="1:5" ht="13.5" customHeight="1">
      <c r="A19" s="85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4.75" customHeight="1">
      <c r="A20" s="85" t="s">
        <v>28</v>
      </c>
      <c r="B20" s="201">
        <f>B21+B22</f>
        <v>39600</v>
      </c>
      <c r="C20" s="201">
        <f>SUM(C21:C22)</f>
        <v>42501.21</v>
      </c>
      <c r="D20" s="139">
        <f t="shared" si="0"/>
        <v>107.32628787878788</v>
      </c>
      <c r="E20" s="140">
        <f t="shared" si="1"/>
        <v>2901.209999999999</v>
      </c>
    </row>
    <row r="21" spans="1:5" ht="14.25" customHeight="1">
      <c r="A21" s="41" t="s">
        <v>152</v>
      </c>
      <c r="B21" s="201">
        <v>39600</v>
      </c>
      <c r="C21" s="201">
        <v>42501.21</v>
      </c>
      <c r="D21" s="139">
        <f t="shared" si="0"/>
        <v>107.32628787878788</v>
      </c>
      <c r="E21" s="140">
        <f t="shared" si="1"/>
        <v>2901.209999999999</v>
      </c>
    </row>
    <row r="22" spans="1:5" ht="12" customHeight="1">
      <c r="A22" s="85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2.75" customHeight="1">
      <c r="A23" s="85" t="s">
        <v>83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3.5" customHeight="1">
      <c r="A24" s="85" t="s">
        <v>78</v>
      </c>
      <c r="B24" s="201">
        <f>SUM(B25:B25)</f>
        <v>0</v>
      </c>
      <c r="C24" s="201">
        <f>SUM(C25:C25)</f>
        <v>0</v>
      </c>
      <c r="D24" s="139" t="str">
        <f t="shared" si="0"/>
        <v>   </v>
      </c>
      <c r="E24" s="140">
        <f t="shared" si="1"/>
        <v>0</v>
      </c>
    </row>
    <row r="25" spans="1:5" ht="13.5" customHeight="1">
      <c r="A25" s="85" t="s">
        <v>125</v>
      </c>
      <c r="B25" s="201">
        <v>0</v>
      </c>
      <c r="C25" s="201"/>
      <c r="D25" s="139" t="str">
        <f t="shared" si="0"/>
        <v>   </v>
      </c>
      <c r="E25" s="140"/>
    </row>
    <row r="26" spans="1:5" ht="12.75">
      <c r="A26" s="85" t="s">
        <v>32</v>
      </c>
      <c r="B26" s="201">
        <f>B27</f>
        <v>0</v>
      </c>
      <c r="C26" s="201">
        <f>C27</f>
        <v>-17.58</v>
      </c>
      <c r="D26" s="139" t="str">
        <f t="shared" si="0"/>
        <v>   </v>
      </c>
      <c r="E26" s="140">
        <f t="shared" si="1"/>
        <v>-17.58</v>
      </c>
    </row>
    <row r="27" spans="1:5" ht="12.75">
      <c r="A27" s="16" t="s">
        <v>46</v>
      </c>
      <c r="B27" s="201">
        <v>0</v>
      </c>
      <c r="C27" s="201">
        <v>-17.58</v>
      </c>
      <c r="D27" s="139" t="str">
        <f t="shared" si="0"/>
        <v>   </v>
      </c>
      <c r="E27" s="140">
        <f t="shared" si="1"/>
        <v>-17.58</v>
      </c>
    </row>
    <row r="28" spans="1:5" ht="12.75">
      <c r="A28" s="85" t="s">
        <v>31</v>
      </c>
      <c r="B28" s="201">
        <v>0</v>
      </c>
      <c r="C28" s="201">
        <v>0</v>
      </c>
      <c r="D28" s="139" t="str">
        <f t="shared" si="0"/>
        <v>   </v>
      </c>
      <c r="E28" s="140">
        <f t="shared" si="1"/>
        <v>0</v>
      </c>
    </row>
    <row r="29" spans="1:5" ht="18" customHeight="1">
      <c r="A29" s="157" t="s">
        <v>10</v>
      </c>
      <c r="B29" s="175">
        <f>B7+B9+B11+B13+B19+B20+B24+B26+B28+B18</f>
        <v>1647400</v>
      </c>
      <c r="C29" s="175">
        <f>C7+C9+C11+C13+C19+C20+C24+C26+C28+C18</f>
        <v>813047.4199999999</v>
      </c>
      <c r="D29" s="141">
        <f t="shared" si="0"/>
        <v>49.35337015903848</v>
      </c>
      <c r="E29" s="142">
        <f t="shared" si="1"/>
        <v>-834352.5800000001</v>
      </c>
    </row>
    <row r="30" spans="1:5" ht="18" customHeight="1">
      <c r="A30" s="158" t="s">
        <v>140</v>
      </c>
      <c r="B30" s="189">
        <f>SUM(B31:B34,B37,B38,B42,B43,B44)</f>
        <v>7375517.9</v>
      </c>
      <c r="C30" s="189">
        <f>SUM(C31:C34,C37,C38,C42,C43,C44)</f>
        <v>3309685</v>
      </c>
      <c r="D30" s="141">
        <f t="shared" si="0"/>
        <v>44.87393353082364</v>
      </c>
      <c r="E30" s="142">
        <f t="shared" si="1"/>
        <v>-4065832.9000000004</v>
      </c>
    </row>
    <row r="31" spans="1:5" ht="16.5" customHeight="1">
      <c r="A31" s="159" t="s">
        <v>34</v>
      </c>
      <c r="B31" s="160">
        <v>3082600</v>
      </c>
      <c r="C31" s="243">
        <v>2053010</v>
      </c>
      <c r="D31" s="154">
        <f t="shared" si="0"/>
        <v>66.59994809576332</v>
      </c>
      <c r="E31" s="155">
        <f t="shared" si="1"/>
        <v>-1029590</v>
      </c>
    </row>
    <row r="32" spans="1:5" ht="16.5" customHeight="1">
      <c r="A32" s="17" t="s">
        <v>229</v>
      </c>
      <c r="B32" s="160">
        <v>0</v>
      </c>
      <c r="C32" s="243">
        <v>0</v>
      </c>
      <c r="D32" s="154" t="str">
        <f>IF(B32=0,"   ",C32/B32*100)</f>
        <v>   </v>
      </c>
      <c r="E32" s="155">
        <f>C32-B32</f>
        <v>0</v>
      </c>
    </row>
    <row r="33" spans="1:5" ht="27" customHeight="1">
      <c r="A33" s="156" t="s">
        <v>51</v>
      </c>
      <c r="B33" s="201">
        <v>90300</v>
      </c>
      <c r="C33" s="243">
        <v>63400</v>
      </c>
      <c r="D33" s="154">
        <f t="shared" si="0"/>
        <v>70.21040974529346</v>
      </c>
      <c r="E33" s="155">
        <f t="shared" si="1"/>
        <v>-26900</v>
      </c>
    </row>
    <row r="34" spans="1:5" ht="27" customHeight="1">
      <c r="A34" s="156" t="s">
        <v>148</v>
      </c>
      <c r="B34" s="201">
        <f>SUM(B35:B36)</f>
        <v>6700</v>
      </c>
      <c r="C34" s="201">
        <f>SUM(C35:C36)</f>
        <v>100</v>
      </c>
      <c r="D34" s="154">
        <f t="shared" si="0"/>
        <v>1.4925373134328357</v>
      </c>
      <c r="E34" s="155">
        <f t="shared" si="1"/>
        <v>-6600</v>
      </c>
    </row>
    <row r="35" spans="1:5" ht="17.25" customHeight="1">
      <c r="A35" s="109" t="s">
        <v>163</v>
      </c>
      <c r="B35" s="201">
        <v>100</v>
      </c>
      <c r="C35" s="201">
        <v>100</v>
      </c>
      <c r="D35" s="154">
        <f t="shared" si="0"/>
        <v>100</v>
      </c>
      <c r="E35" s="155">
        <f t="shared" si="1"/>
        <v>0</v>
      </c>
    </row>
    <row r="36" spans="1:5" ht="27" customHeight="1">
      <c r="A36" s="109" t="s">
        <v>164</v>
      </c>
      <c r="B36" s="201">
        <v>6600</v>
      </c>
      <c r="C36" s="201">
        <v>0</v>
      </c>
      <c r="D36" s="154">
        <f>IF(B36=0,"   ",C36/B36*100)</f>
        <v>0</v>
      </c>
      <c r="E36" s="155">
        <f>C36-B36</f>
        <v>-6600</v>
      </c>
    </row>
    <row r="37" spans="1:5" ht="54.75" customHeight="1">
      <c r="A37" s="16" t="s">
        <v>238</v>
      </c>
      <c r="B37" s="201">
        <v>963800</v>
      </c>
      <c r="C37" s="201">
        <v>963800</v>
      </c>
      <c r="D37" s="154">
        <f>IF(B37=0,"   ",C37/B37*100)</f>
        <v>100</v>
      </c>
      <c r="E37" s="155">
        <f>C37-B37</f>
        <v>0</v>
      </c>
    </row>
    <row r="38" spans="1:5" ht="17.25" customHeight="1">
      <c r="A38" s="156" t="s">
        <v>55</v>
      </c>
      <c r="B38" s="201">
        <f>B39+B41+B40</f>
        <v>2509750</v>
      </c>
      <c r="C38" s="201">
        <f>C39+C41+C40</f>
        <v>207000</v>
      </c>
      <c r="D38" s="154">
        <f t="shared" si="0"/>
        <v>8.247833449546768</v>
      </c>
      <c r="E38" s="155">
        <f t="shared" si="1"/>
        <v>-2302750</v>
      </c>
    </row>
    <row r="39" spans="1:5" s="7" customFormat="1" ht="14.25" customHeight="1">
      <c r="A39" s="46" t="s">
        <v>109</v>
      </c>
      <c r="B39" s="201">
        <v>670000</v>
      </c>
      <c r="C39" s="201">
        <v>207000</v>
      </c>
      <c r="D39" s="47">
        <f t="shared" si="0"/>
        <v>30.895522388059703</v>
      </c>
      <c r="E39" s="176">
        <f t="shared" si="1"/>
        <v>-463000</v>
      </c>
    </row>
    <row r="40" spans="1:5" s="7" customFormat="1" ht="14.25" customHeight="1">
      <c r="A40" s="46" t="s">
        <v>296</v>
      </c>
      <c r="B40" s="201">
        <v>1705550</v>
      </c>
      <c r="C40" s="201">
        <v>0</v>
      </c>
      <c r="D40" s="47">
        <f t="shared" si="0"/>
        <v>0</v>
      </c>
      <c r="E40" s="176">
        <f t="shared" si="1"/>
        <v>-1705550</v>
      </c>
    </row>
    <row r="41" spans="1:5" s="7" customFormat="1" ht="14.25" customHeight="1">
      <c r="A41" s="46" t="s">
        <v>188</v>
      </c>
      <c r="B41" s="201">
        <v>134200</v>
      </c>
      <c r="C41" s="201">
        <v>0</v>
      </c>
      <c r="D41" s="47">
        <f t="shared" si="0"/>
        <v>0</v>
      </c>
      <c r="E41" s="176">
        <f t="shared" si="1"/>
        <v>-134200</v>
      </c>
    </row>
    <row r="42" spans="1:5" ht="39" customHeight="1">
      <c r="A42" s="156" t="s">
        <v>103</v>
      </c>
      <c r="B42" s="201">
        <v>0</v>
      </c>
      <c r="C42" s="243">
        <v>0</v>
      </c>
      <c r="D42" s="154" t="str">
        <f t="shared" si="0"/>
        <v>   </v>
      </c>
      <c r="E42" s="155">
        <f t="shared" si="1"/>
        <v>0</v>
      </c>
    </row>
    <row r="43" spans="1:5" ht="29.25" customHeight="1">
      <c r="A43" s="16" t="s">
        <v>298</v>
      </c>
      <c r="B43" s="201">
        <v>700000</v>
      </c>
      <c r="C43" s="243">
        <v>0</v>
      </c>
      <c r="D43" s="154">
        <f t="shared" si="0"/>
        <v>0</v>
      </c>
      <c r="E43" s="155">
        <f t="shared" si="1"/>
        <v>-700000</v>
      </c>
    </row>
    <row r="44" spans="1:5" ht="15.75" customHeight="1">
      <c r="A44" s="16" t="s">
        <v>199</v>
      </c>
      <c r="B44" s="201">
        <v>22367.9</v>
      </c>
      <c r="C44" s="201">
        <v>22375</v>
      </c>
      <c r="D44" s="154">
        <f t="shared" si="0"/>
        <v>100.0317419158705</v>
      </c>
      <c r="E44" s="155">
        <f t="shared" si="1"/>
        <v>7.099999999998545</v>
      </c>
    </row>
    <row r="45" spans="1:5" ht="27" customHeight="1">
      <c r="A45" s="157" t="s">
        <v>11</v>
      </c>
      <c r="B45" s="150">
        <f>SUM(B29,B30,)</f>
        <v>9022917.9</v>
      </c>
      <c r="C45" s="150">
        <f>SUM(C29,C30,)</f>
        <v>4122732.42</v>
      </c>
      <c r="D45" s="141">
        <f t="shared" si="0"/>
        <v>45.6917869107509</v>
      </c>
      <c r="E45" s="142">
        <f t="shared" si="1"/>
        <v>-4900185.48</v>
      </c>
    </row>
    <row r="46" spans="1:5" ht="20.25" customHeight="1">
      <c r="A46" s="30"/>
      <c r="B46" s="160"/>
      <c r="C46" s="152"/>
      <c r="D46" s="154" t="str">
        <f t="shared" si="0"/>
        <v>   </v>
      </c>
      <c r="E46" s="155">
        <f t="shared" si="1"/>
        <v>0</v>
      </c>
    </row>
    <row r="47" spans="1:5" ht="12.75">
      <c r="A47" s="161" t="s">
        <v>12</v>
      </c>
      <c r="B47" s="150"/>
      <c r="C47" s="162"/>
      <c r="D47" s="154" t="str">
        <f t="shared" si="0"/>
        <v>   </v>
      </c>
      <c r="E47" s="155">
        <f t="shared" si="1"/>
        <v>0</v>
      </c>
    </row>
    <row r="48" spans="1:5" ht="19.5" customHeight="1">
      <c r="A48" s="156" t="s">
        <v>35</v>
      </c>
      <c r="B48" s="152">
        <f>SUM(B49,B52,B53)</f>
        <v>1314500</v>
      </c>
      <c r="C48" s="152">
        <f>SUM(C49,C52,C53)</f>
        <v>779290.72</v>
      </c>
      <c r="D48" s="154">
        <f t="shared" si="0"/>
        <v>59.28419322936478</v>
      </c>
      <c r="E48" s="155">
        <f t="shared" si="1"/>
        <v>-535209.28</v>
      </c>
    </row>
    <row r="49" spans="1:5" ht="13.5" customHeight="1">
      <c r="A49" s="156" t="s">
        <v>36</v>
      </c>
      <c r="B49" s="152">
        <v>1154000</v>
      </c>
      <c r="C49" s="152">
        <v>779290.72</v>
      </c>
      <c r="D49" s="154">
        <f t="shared" si="0"/>
        <v>67.52952512998267</v>
      </c>
      <c r="E49" s="155">
        <f t="shared" si="1"/>
        <v>-374709.28</v>
      </c>
    </row>
    <row r="50" spans="1:5" ht="12.75">
      <c r="A50" s="156" t="s">
        <v>121</v>
      </c>
      <c r="B50" s="152">
        <v>740399</v>
      </c>
      <c r="C50" s="162">
        <v>581047.39</v>
      </c>
      <c r="D50" s="154">
        <f t="shared" si="0"/>
        <v>78.4776032922789</v>
      </c>
      <c r="E50" s="155">
        <f t="shared" si="1"/>
        <v>-159351.61</v>
      </c>
    </row>
    <row r="51" spans="1:5" ht="12.75">
      <c r="A51" s="85" t="s">
        <v>288</v>
      </c>
      <c r="B51" s="152">
        <v>100</v>
      </c>
      <c r="C51" s="162">
        <v>100</v>
      </c>
      <c r="D51" s="154">
        <f>IF(B51=0,"   ",C51/B51*100)</f>
        <v>100</v>
      </c>
      <c r="E51" s="155">
        <f>C51-B51</f>
        <v>0</v>
      </c>
    </row>
    <row r="52" spans="1:5" ht="12.75">
      <c r="A52" s="156" t="s">
        <v>95</v>
      </c>
      <c r="B52" s="152">
        <v>500</v>
      </c>
      <c r="C52" s="153">
        <v>0</v>
      </c>
      <c r="D52" s="154">
        <f t="shared" si="0"/>
        <v>0</v>
      </c>
      <c r="E52" s="155">
        <f t="shared" si="1"/>
        <v>-500</v>
      </c>
    </row>
    <row r="53" spans="1:5" ht="12.75">
      <c r="A53" s="41" t="s">
        <v>52</v>
      </c>
      <c r="B53" s="153">
        <f>SUM(B54+B55)</f>
        <v>160000</v>
      </c>
      <c r="C53" s="153">
        <f>SUM(C54+C55)</f>
        <v>0</v>
      </c>
      <c r="D53" s="154">
        <f>IF(B53=0,"   ",C53/B53*100)</f>
        <v>0</v>
      </c>
      <c r="E53" s="155">
        <f>C53-B53</f>
        <v>-160000</v>
      </c>
    </row>
    <row r="54" spans="1:5" ht="26.25">
      <c r="A54" s="105" t="s">
        <v>248</v>
      </c>
      <c r="B54" s="152">
        <v>10000</v>
      </c>
      <c r="C54" s="153">
        <v>0</v>
      </c>
      <c r="D54" s="154">
        <f>IF(B54=0,"   ",C54/B54*100)</f>
        <v>0</v>
      </c>
      <c r="E54" s="155">
        <f>C54-B54</f>
        <v>-10000</v>
      </c>
    </row>
    <row r="55" spans="1:5" ht="12.75">
      <c r="A55" s="105" t="s">
        <v>264</v>
      </c>
      <c r="B55" s="152">
        <v>150000</v>
      </c>
      <c r="C55" s="153">
        <v>0</v>
      </c>
      <c r="D55" s="154">
        <f>IF(B55=0,"   ",C55/B55*100)</f>
        <v>0</v>
      </c>
      <c r="E55" s="155">
        <f>C55-B55</f>
        <v>-150000</v>
      </c>
    </row>
    <row r="56" spans="1:5" ht="18.75" customHeight="1">
      <c r="A56" s="156" t="s">
        <v>49</v>
      </c>
      <c r="B56" s="153">
        <f>SUM(B57)</f>
        <v>90300</v>
      </c>
      <c r="C56" s="153">
        <f>SUM(C57)</f>
        <v>57276.41</v>
      </c>
      <c r="D56" s="154">
        <f t="shared" si="0"/>
        <v>63.42902547065338</v>
      </c>
      <c r="E56" s="155">
        <f t="shared" si="1"/>
        <v>-33023.59</v>
      </c>
    </row>
    <row r="57" spans="1:5" ht="13.5" customHeight="1">
      <c r="A57" s="46" t="s">
        <v>107</v>
      </c>
      <c r="B57" s="152">
        <v>90300</v>
      </c>
      <c r="C57" s="153">
        <v>57276.41</v>
      </c>
      <c r="D57" s="154">
        <f t="shared" si="0"/>
        <v>63.42902547065338</v>
      </c>
      <c r="E57" s="155">
        <f t="shared" si="1"/>
        <v>-33023.59</v>
      </c>
    </row>
    <row r="58" spans="1:5" ht="17.25" customHeight="1">
      <c r="A58" s="156" t="s">
        <v>37</v>
      </c>
      <c r="B58" s="152">
        <f>SUM(B59)</f>
        <v>400</v>
      </c>
      <c r="C58" s="152">
        <f>SUM(C59)</f>
        <v>400</v>
      </c>
      <c r="D58" s="154">
        <f t="shared" si="0"/>
        <v>100</v>
      </c>
      <c r="E58" s="155">
        <f t="shared" si="1"/>
        <v>0</v>
      </c>
    </row>
    <row r="59" spans="1:5" ht="15" customHeight="1">
      <c r="A59" s="75" t="s">
        <v>128</v>
      </c>
      <c r="B59" s="152">
        <v>400</v>
      </c>
      <c r="C59" s="153">
        <v>400</v>
      </c>
      <c r="D59" s="154">
        <f t="shared" si="0"/>
        <v>100</v>
      </c>
      <c r="E59" s="155">
        <f t="shared" si="1"/>
        <v>0</v>
      </c>
    </row>
    <row r="60" spans="1:5" ht="15.75" customHeight="1">
      <c r="A60" s="156" t="s">
        <v>38</v>
      </c>
      <c r="B60" s="152">
        <f>B64+B61+B72</f>
        <v>2898894.79</v>
      </c>
      <c r="C60" s="152">
        <f>C64+C61+C72</f>
        <v>1343237.56</v>
      </c>
      <c r="D60" s="154">
        <f t="shared" si="0"/>
        <v>46.33619559542553</v>
      </c>
      <c r="E60" s="155">
        <f t="shared" si="1"/>
        <v>-1555657.23</v>
      </c>
    </row>
    <row r="61" spans="1:5" ht="15.75" customHeight="1">
      <c r="A61" s="75" t="s">
        <v>165</v>
      </c>
      <c r="B61" s="25">
        <f>SUM(B62+B63)</f>
        <v>6600</v>
      </c>
      <c r="C61" s="25">
        <f>SUM(C62+C63)</f>
        <v>0</v>
      </c>
      <c r="D61" s="154">
        <f>IF(B61=0,"   ",C61/B61*100)</f>
        <v>0</v>
      </c>
      <c r="E61" s="155">
        <f>C61-B61</f>
        <v>-6600</v>
      </c>
    </row>
    <row r="62" spans="1:5" ht="15.75" customHeight="1">
      <c r="A62" s="75" t="s">
        <v>166</v>
      </c>
      <c r="B62" s="25">
        <v>6600</v>
      </c>
      <c r="C62" s="152">
        <v>0</v>
      </c>
      <c r="D62" s="154">
        <f>IF(B62=0,"   ",C62/B62*100)</f>
        <v>0</v>
      </c>
      <c r="E62" s="155">
        <f>C62-B62</f>
        <v>-6600</v>
      </c>
    </row>
    <row r="63" spans="1:5" ht="15.75" customHeight="1">
      <c r="A63" s="75" t="s">
        <v>189</v>
      </c>
      <c r="B63" s="25">
        <v>0</v>
      </c>
      <c r="C63" s="152">
        <v>0</v>
      </c>
      <c r="D63" s="154"/>
      <c r="E63" s="155"/>
    </row>
    <row r="64" spans="1:5" ht="12.75">
      <c r="A64" s="164" t="s">
        <v>131</v>
      </c>
      <c r="B64" s="152">
        <f>SUM(B65:B71)</f>
        <v>2842294.79</v>
      </c>
      <c r="C64" s="152">
        <f>SUM(C65:C71)</f>
        <v>1343237.56</v>
      </c>
      <c r="D64" s="154">
        <f t="shared" si="0"/>
        <v>47.25891081832508</v>
      </c>
      <c r="E64" s="155">
        <f t="shared" si="1"/>
        <v>-1499057.23</v>
      </c>
    </row>
    <row r="65" spans="1:5" ht="21.75" customHeight="1">
      <c r="A65" s="75" t="s">
        <v>149</v>
      </c>
      <c r="B65" s="152">
        <v>100000</v>
      </c>
      <c r="C65" s="152">
        <v>42337.56</v>
      </c>
      <c r="D65" s="154">
        <f t="shared" si="0"/>
        <v>42.337559999999996</v>
      </c>
      <c r="E65" s="155">
        <f t="shared" si="1"/>
        <v>-57662.44</v>
      </c>
    </row>
    <row r="66" spans="1:5" ht="30.75" customHeight="1">
      <c r="A66" s="71" t="s">
        <v>257</v>
      </c>
      <c r="B66" s="152">
        <v>926894.79</v>
      </c>
      <c r="C66" s="152">
        <v>0</v>
      </c>
      <c r="D66" s="154">
        <f t="shared" si="0"/>
        <v>0</v>
      </c>
      <c r="E66" s="155">
        <f t="shared" si="1"/>
        <v>-926894.79</v>
      </c>
    </row>
    <row r="67" spans="1:5" ht="30" customHeight="1">
      <c r="A67" s="71" t="s">
        <v>258</v>
      </c>
      <c r="B67" s="152">
        <v>0</v>
      </c>
      <c r="C67" s="152">
        <v>0</v>
      </c>
      <c r="D67" s="154" t="str">
        <f t="shared" si="0"/>
        <v>   </v>
      </c>
      <c r="E67" s="155">
        <f t="shared" si="1"/>
        <v>0</v>
      </c>
    </row>
    <row r="68" spans="1:5" ht="26.25" customHeight="1">
      <c r="A68" s="71" t="s">
        <v>259</v>
      </c>
      <c r="B68" s="152">
        <v>963800</v>
      </c>
      <c r="C68" s="152">
        <v>963800</v>
      </c>
      <c r="D68" s="154">
        <f t="shared" si="0"/>
        <v>100</v>
      </c>
      <c r="E68" s="155">
        <f t="shared" si="1"/>
        <v>0</v>
      </c>
    </row>
    <row r="69" spans="1:5" ht="27" customHeight="1">
      <c r="A69" s="71" t="s">
        <v>260</v>
      </c>
      <c r="B69" s="152">
        <v>107100</v>
      </c>
      <c r="C69" s="152">
        <v>107100</v>
      </c>
      <c r="D69" s="154">
        <f t="shared" si="0"/>
        <v>100</v>
      </c>
      <c r="E69" s="155">
        <f t="shared" si="1"/>
        <v>0</v>
      </c>
    </row>
    <row r="70" spans="1:5" ht="24" customHeight="1">
      <c r="A70" s="71" t="s">
        <v>261</v>
      </c>
      <c r="B70" s="152">
        <v>670000</v>
      </c>
      <c r="C70" s="152">
        <v>207000</v>
      </c>
      <c r="D70" s="154">
        <f>IF(B70=0,"   ",C70/B70*100)</f>
        <v>30.895522388059703</v>
      </c>
      <c r="E70" s="155">
        <f>C70-B70</f>
        <v>-463000</v>
      </c>
    </row>
    <row r="71" spans="1:5" ht="31.5" customHeight="1">
      <c r="A71" s="71" t="s">
        <v>262</v>
      </c>
      <c r="B71" s="152">
        <v>74500</v>
      </c>
      <c r="C71" s="152">
        <v>23000</v>
      </c>
      <c r="D71" s="154">
        <f t="shared" si="0"/>
        <v>30.87248322147651</v>
      </c>
      <c r="E71" s="155">
        <f t="shared" si="1"/>
        <v>-51500</v>
      </c>
    </row>
    <row r="72" spans="1:5" ht="23.25" customHeight="1">
      <c r="A72" s="96" t="s">
        <v>177</v>
      </c>
      <c r="B72" s="152">
        <f>SUM(B73)</f>
        <v>50000</v>
      </c>
      <c r="C72" s="152">
        <f>SUM(C73)</f>
        <v>0</v>
      </c>
      <c r="D72" s="154">
        <f>IF(B72=0,"   ",C72/B72*100)</f>
        <v>0</v>
      </c>
      <c r="E72" s="155">
        <f>C72-B72</f>
        <v>-50000</v>
      </c>
    </row>
    <row r="73" spans="1:5" ht="23.25" customHeight="1">
      <c r="A73" s="75" t="s">
        <v>178</v>
      </c>
      <c r="B73" s="152">
        <v>50000</v>
      </c>
      <c r="C73" s="152">
        <v>0</v>
      </c>
      <c r="D73" s="154">
        <f>IF(B73=0,"   ",C73/B73*100)</f>
        <v>0</v>
      </c>
      <c r="E73" s="155">
        <f>C73-B73</f>
        <v>-50000</v>
      </c>
    </row>
    <row r="74" spans="1:5" ht="17.25" customHeight="1">
      <c r="A74" s="156" t="s">
        <v>13</v>
      </c>
      <c r="B74" s="152">
        <f>SUM(B81,B75)</f>
        <v>3010681.66</v>
      </c>
      <c r="C74" s="152">
        <f>C75+C81</f>
        <v>108377.15</v>
      </c>
      <c r="D74" s="154">
        <f t="shared" si="0"/>
        <v>3.599754548609433</v>
      </c>
      <c r="E74" s="155">
        <f t="shared" si="1"/>
        <v>-2902304.5100000002</v>
      </c>
    </row>
    <row r="75" spans="1:5" ht="15.75" customHeight="1">
      <c r="A75" s="156" t="s">
        <v>90</v>
      </c>
      <c r="B75" s="152">
        <f>SUM(B76)</f>
        <v>1705550</v>
      </c>
      <c r="C75" s="152">
        <f>SUM(C76)</f>
        <v>0</v>
      </c>
      <c r="D75" s="154">
        <f t="shared" si="0"/>
        <v>0</v>
      </c>
      <c r="E75" s="155">
        <f t="shared" si="1"/>
        <v>-1705550</v>
      </c>
    </row>
    <row r="76" spans="1:5" ht="15.75" customHeight="1">
      <c r="A76" s="16" t="s">
        <v>301</v>
      </c>
      <c r="B76" s="152">
        <v>1705550</v>
      </c>
      <c r="C76" s="152">
        <v>0</v>
      </c>
      <c r="D76" s="154">
        <f>IF(B76=0,"   ",C76/B76*100)</f>
        <v>0</v>
      </c>
      <c r="E76" s="155">
        <f>C76-B76</f>
        <v>-1705550</v>
      </c>
    </row>
    <row r="77" spans="1:5" ht="15.75" customHeight="1">
      <c r="A77" s="105" t="s">
        <v>206</v>
      </c>
      <c r="B77" s="152">
        <f>B79+B78+B80</f>
        <v>0</v>
      </c>
      <c r="C77" s="152">
        <f>C79+C78+C80</f>
        <v>0</v>
      </c>
      <c r="D77" s="154" t="str">
        <f>IF(B77=0,"   ",C77/B77*100)</f>
        <v>   </v>
      </c>
      <c r="E77" s="155">
        <f>C77-B77</f>
        <v>0</v>
      </c>
    </row>
    <row r="78" spans="1:5" ht="27.75" customHeight="1">
      <c r="A78" s="105" t="s">
        <v>187</v>
      </c>
      <c r="B78" s="152">
        <v>0</v>
      </c>
      <c r="C78" s="152">
        <v>0</v>
      </c>
      <c r="D78" s="154" t="str">
        <f t="shared" si="0"/>
        <v>   </v>
      </c>
      <c r="E78" s="155">
        <f t="shared" si="1"/>
        <v>0</v>
      </c>
    </row>
    <row r="79" spans="1:5" ht="27.75" customHeight="1">
      <c r="A79" s="105" t="s">
        <v>200</v>
      </c>
      <c r="B79" s="152">
        <v>0</v>
      </c>
      <c r="C79" s="152">
        <v>0</v>
      </c>
      <c r="D79" s="154" t="str">
        <f t="shared" si="0"/>
        <v>   </v>
      </c>
      <c r="E79" s="155">
        <f t="shared" si="1"/>
        <v>0</v>
      </c>
    </row>
    <row r="80" spans="1:5" ht="27.75" customHeight="1">
      <c r="A80" s="105" t="s">
        <v>212</v>
      </c>
      <c r="B80" s="152">
        <v>0</v>
      </c>
      <c r="C80" s="152">
        <v>0</v>
      </c>
      <c r="D80" s="154" t="str">
        <f t="shared" si="0"/>
        <v>   </v>
      </c>
      <c r="E80" s="155">
        <f t="shared" si="1"/>
        <v>0</v>
      </c>
    </row>
    <row r="81" spans="1:5" ht="12.75">
      <c r="A81" s="156" t="s">
        <v>58</v>
      </c>
      <c r="B81" s="152">
        <f>B82+B83+B84+B85+B89</f>
        <v>1305131.66</v>
      </c>
      <c r="C81" s="152">
        <f>C82+C83+C84+C85+C89</f>
        <v>108377.15</v>
      </c>
      <c r="D81" s="154">
        <f t="shared" si="0"/>
        <v>8.303924678373061</v>
      </c>
      <c r="E81" s="155">
        <f t="shared" si="1"/>
        <v>-1196754.51</v>
      </c>
    </row>
    <row r="82" spans="1:5" ht="12.75">
      <c r="A82" s="156" t="s">
        <v>56</v>
      </c>
      <c r="B82" s="152">
        <v>375700</v>
      </c>
      <c r="C82" s="152">
        <v>108377.15</v>
      </c>
      <c r="D82" s="154">
        <f t="shared" si="0"/>
        <v>28.84672611125898</v>
      </c>
      <c r="E82" s="155">
        <f t="shared" si="1"/>
        <v>-267322.85</v>
      </c>
    </row>
    <row r="83" spans="1:5" ht="12.75">
      <c r="A83" s="156" t="s">
        <v>59</v>
      </c>
      <c r="B83" s="152">
        <v>5731.66</v>
      </c>
      <c r="C83" s="153">
        <v>0</v>
      </c>
      <c r="D83" s="154">
        <f t="shared" si="0"/>
        <v>0</v>
      </c>
      <c r="E83" s="155">
        <f t="shared" si="1"/>
        <v>-5731.66</v>
      </c>
    </row>
    <row r="84" spans="1:5" ht="26.25">
      <c r="A84" s="105" t="s">
        <v>167</v>
      </c>
      <c r="B84" s="152">
        <v>0</v>
      </c>
      <c r="C84" s="153">
        <v>0</v>
      </c>
      <c r="D84" s="154" t="str">
        <f>IF(B84=0,"   ",C84/B84*100)</f>
        <v>   </v>
      </c>
      <c r="E84" s="155">
        <f>C84-B84</f>
        <v>0</v>
      </c>
    </row>
    <row r="85" spans="1:5" ht="12.75">
      <c r="A85" s="105" t="s">
        <v>206</v>
      </c>
      <c r="B85" s="152">
        <f>B87+B86+B88</f>
        <v>223700</v>
      </c>
      <c r="C85" s="152">
        <f>C87+C86+C88</f>
        <v>0</v>
      </c>
      <c r="D85" s="154">
        <f>IF(B85=0,"   ",C85/B85*100)</f>
        <v>0</v>
      </c>
      <c r="E85" s="155">
        <f>C85-B85</f>
        <v>-223700</v>
      </c>
    </row>
    <row r="86" spans="1:5" ht="26.25">
      <c r="A86" s="105" t="s">
        <v>187</v>
      </c>
      <c r="B86" s="152">
        <v>134200</v>
      </c>
      <c r="C86" s="153">
        <v>0</v>
      </c>
      <c r="D86" s="154">
        <f>IF(B86=0,"   ",C86/B86*100)</f>
        <v>0</v>
      </c>
      <c r="E86" s="155">
        <f>C86-B86</f>
        <v>-134200</v>
      </c>
    </row>
    <row r="87" spans="1:5" ht="26.25">
      <c r="A87" s="105" t="s">
        <v>200</v>
      </c>
      <c r="B87" s="152">
        <v>67125</v>
      </c>
      <c r="C87" s="153">
        <v>0</v>
      </c>
      <c r="D87" s="154">
        <f>IF(B87=0,"   ",C87/B87*100)</f>
        <v>0</v>
      </c>
      <c r="E87" s="155">
        <f>C87-B87</f>
        <v>-67125</v>
      </c>
    </row>
    <row r="88" spans="1:5" ht="26.25">
      <c r="A88" s="105" t="s">
        <v>212</v>
      </c>
      <c r="B88" s="152">
        <v>22375</v>
      </c>
      <c r="C88" s="153">
        <v>0</v>
      </c>
      <c r="D88" s="154">
        <f>IF(B88=0,"   ",C88/B88*100)</f>
        <v>0</v>
      </c>
      <c r="E88" s="155">
        <f>C88-B88</f>
        <v>-22375</v>
      </c>
    </row>
    <row r="89" spans="1:5" ht="21.75" customHeight="1">
      <c r="A89" s="105" t="s">
        <v>302</v>
      </c>
      <c r="B89" s="152">
        <v>700000</v>
      </c>
      <c r="C89" s="153">
        <v>0</v>
      </c>
      <c r="D89" s="154">
        <f t="shared" si="0"/>
        <v>0</v>
      </c>
      <c r="E89" s="155">
        <f t="shared" si="1"/>
        <v>-700000</v>
      </c>
    </row>
    <row r="90" spans="1:5" ht="12.75" customHeight="1">
      <c r="A90" s="165" t="s">
        <v>17</v>
      </c>
      <c r="B90" s="166">
        <v>8000</v>
      </c>
      <c r="C90" s="166">
        <v>0</v>
      </c>
      <c r="D90" s="167">
        <f t="shared" si="0"/>
        <v>0</v>
      </c>
      <c r="E90" s="168">
        <f t="shared" si="1"/>
        <v>-8000</v>
      </c>
    </row>
    <row r="91" spans="1:5" ht="19.5" customHeight="1">
      <c r="A91" s="169" t="s">
        <v>41</v>
      </c>
      <c r="B91" s="170">
        <f>B92</f>
        <v>1858800</v>
      </c>
      <c r="C91" s="170">
        <f>C92</f>
        <v>1207420.75</v>
      </c>
      <c r="D91" s="167">
        <f t="shared" si="0"/>
        <v>64.95700182913707</v>
      </c>
      <c r="E91" s="168">
        <f t="shared" si="1"/>
        <v>-651379.25</v>
      </c>
    </row>
    <row r="92" spans="1:5" ht="15" customHeight="1">
      <c r="A92" s="169" t="s">
        <v>42</v>
      </c>
      <c r="B92" s="166">
        <v>1858800</v>
      </c>
      <c r="C92" s="171">
        <v>1207420.75</v>
      </c>
      <c r="D92" s="167">
        <f t="shared" si="0"/>
        <v>64.95700182913707</v>
      </c>
      <c r="E92" s="168">
        <f t="shared" si="1"/>
        <v>-651379.25</v>
      </c>
    </row>
    <row r="93" spans="1:5" ht="14.25" customHeight="1">
      <c r="A93" s="169" t="s">
        <v>124</v>
      </c>
      <c r="B93" s="166">
        <f>SUM(B94,)</f>
        <v>20000</v>
      </c>
      <c r="C93" s="166">
        <f>SUM(C94,)</f>
        <v>0</v>
      </c>
      <c r="D93" s="167">
        <f t="shared" si="0"/>
        <v>0</v>
      </c>
      <c r="E93" s="168">
        <f t="shared" si="1"/>
        <v>-20000</v>
      </c>
    </row>
    <row r="94" spans="1:5" ht="12.75">
      <c r="A94" s="169" t="s">
        <v>43</v>
      </c>
      <c r="B94" s="166">
        <v>20000</v>
      </c>
      <c r="C94" s="172">
        <v>0</v>
      </c>
      <c r="D94" s="167">
        <f t="shared" si="0"/>
        <v>0</v>
      </c>
      <c r="E94" s="168">
        <f t="shared" si="1"/>
        <v>-20000</v>
      </c>
    </row>
    <row r="95" spans="1:5" ht="23.25" customHeight="1">
      <c r="A95" s="157" t="s">
        <v>15</v>
      </c>
      <c r="B95" s="150">
        <f>SUM(B48,B56,B58,B60,B74,B90,B91,B93,)</f>
        <v>9201576.45</v>
      </c>
      <c r="C95" s="150">
        <f>SUM(C48,C56,C58,C60,C74,C90,C91,C93,)</f>
        <v>3496002.59</v>
      </c>
      <c r="D95" s="141">
        <f>IF(B95=0,"   ",C95/B95*100)</f>
        <v>37.9935178390003</v>
      </c>
      <c r="E95" s="142">
        <f t="shared" si="1"/>
        <v>-5705573.859999999</v>
      </c>
    </row>
    <row r="96" spans="1:5" s="59" customFormat="1" ht="23.25" customHeight="1">
      <c r="A96" s="80" t="s">
        <v>304</v>
      </c>
      <c r="B96" s="80"/>
      <c r="C96" s="307"/>
      <c r="D96" s="307"/>
      <c r="E96" s="307"/>
    </row>
    <row r="97" spans="1:5" s="59" customFormat="1" ht="12" customHeight="1">
      <c r="A97" s="80" t="s">
        <v>154</v>
      </c>
      <c r="B97" s="80"/>
      <c r="C97" s="81" t="s">
        <v>247</v>
      </c>
      <c r="D97" s="82"/>
      <c r="E97" s="83"/>
    </row>
    <row r="98" spans="1:5" ht="12.75">
      <c r="A98" s="177"/>
      <c r="B98" s="177"/>
      <c r="C98" s="178"/>
      <c r="D98" s="177"/>
      <c r="E98" s="179"/>
    </row>
    <row r="99" spans="1:5" ht="12.75">
      <c r="A99" s="177"/>
      <c r="B99" s="177"/>
      <c r="C99" s="178"/>
      <c r="D99" s="177"/>
      <c r="E99" s="179"/>
    </row>
    <row r="100" spans="1:5" ht="12.75">
      <c r="A100" s="180"/>
      <c r="B100" s="180"/>
      <c r="C100" s="180"/>
      <c r="D100" s="180"/>
      <c r="E100" s="180"/>
    </row>
    <row r="101" spans="1:5" ht="12.75">
      <c r="A101" s="180"/>
      <c r="B101" s="180"/>
      <c r="C101" s="180"/>
      <c r="D101" s="180"/>
      <c r="E101" s="180"/>
    </row>
    <row r="102" spans="1:5" ht="12.75">
      <c r="A102" s="180"/>
      <c r="B102" s="180"/>
      <c r="C102" s="180"/>
      <c r="D102" s="180"/>
      <c r="E102" s="180"/>
    </row>
    <row r="103" spans="1:5" ht="12.75">
      <c r="A103" s="180"/>
      <c r="B103" s="180"/>
      <c r="C103" s="180"/>
      <c r="D103" s="180"/>
      <c r="E103" s="180"/>
    </row>
    <row r="104" spans="1:5" ht="12.75">
      <c r="A104" s="180"/>
      <c r="B104" s="180"/>
      <c r="C104" s="180"/>
      <c r="D104" s="180"/>
      <c r="E104" s="180"/>
    </row>
    <row r="105" spans="1:5" ht="12.75">
      <c r="A105" s="180"/>
      <c r="B105" s="180"/>
      <c r="C105" s="180"/>
      <c r="D105" s="180"/>
      <c r="E105" s="180"/>
    </row>
  </sheetData>
  <sheetProtection/>
  <mergeCells count="2">
    <mergeCell ref="A1:E1"/>
    <mergeCell ref="C96:E9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09" t="s">
        <v>314</v>
      </c>
      <c r="B1" s="309"/>
      <c r="C1" s="309"/>
      <c r="D1" s="309"/>
      <c r="E1" s="30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251</v>
      </c>
      <c r="C4" s="32" t="s">
        <v>312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9">
        <f>SUM(B8)</f>
        <v>81500</v>
      </c>
      <c r="C7" s="149">
        <f>C8</f>
        <v>32068.08</v>
      </c>
      <c r="D7" s="139">
        <f aca="true" t="shared" si="0" ref="D7:D99">IF(B7=0,"   ",C7/B7*100)</f>
        <v>39.34733742331289</v>
      </c>
      <c r="E7" s="140">
        <f aca="true" t="shared" si="1" ref="E7:E100">C7-B7</f>
        <v>-49431.92</v>
      </c>
    </row>
    <row r="8" spans="1:5" ht="12.75">
      <c r="A8" s="16" t="s">
        <v>44</v>
      </c>
      <c r="B8" s="84">
        <v>81500</v>
      </c>
      <c r="C8" s="243">
        <v>32068.08</v>
      </c>
      <c r="D8" s="139">
        <f t="shared" si="0"/>
        <v>39.34733742331289</v>
      </c>
      <c r="E8" s="140">
        <f t="shared" si="1"/>
        <v>-49431.92</v>
      </c>
    </row>
    <row r="9" spans="1:5" ht="12.75">
      <c r="A9" s="64" t="s">
        <v>137</v>
      </c>
      <c r="B9" s="200">
        <f>SUM(B10)</f>
        <v>500700</v>
      </c>
      <c r="C9" s="200">
        <f>SUM(C10)</f>
        <v>305097.12</v>
      </c>
      <c r="D9" s="139">
        <f t="shared" si="0"/>
        <v>60.93411623726782</v>
      </c>
      <c r="E9" s="140">
        <f t="shared" si="1"/>
        <v>-195602.88</v>
      </c>
    </row>
    <row r="10" spans="1:5" ht="12.75">
      <c r="A10" s="41" t="s">
        <v>138</v>
      </c>
      <c r="B10" s="201">
        <v>500700</v>
      </c>
      <c r="C10" s="243">
        <v>305097.12</v>
      </c>
      <c r="D10" s="139">
        <f t="shared" si="0"/>
        <v>60.93411623726782</v>
      </c>
      <c r="E10" s="140">
        <f t="shared" si="1"/>
        <v>-195602.88</v>
      </c>
    </row>
    <row r="11" spans="1:5" ht="13.5" customHeight="1">
      <c r="A11" s="16" t="s">
        <v>7</v>
      </c>
      <c r="B11" s="201">
        <f>SUM(B12:B12)</f>
        <v>53700</v>
      </c>
      <c r="C11" s="201">
        <f>SUM(C12:C12)</f>
        <v>56836.5</v>
      </c>
      <c r="D11" s="139">
        <f t="shared" si="0"/>
        <v>105.84078212290503</v>
      </c>
      <c r="E11" s="140">
        <f t="shared" si="1"/>
        <v>3136.5</v>
      </c>
    </row>
    <row r="12" spans="1:5" ht="13.5" customHeight="1">
      <c r="A12" s="16" t="s">
        <v>26</v>
      </c>
      <c r="B12" s="201">
        <v>53700</v>
      </c>
      <c r="C12" s="243">
        <v>56836.5</v>
      </c>
      <c r="D12" s="139">
        <f t="shared" si="0"/>
        <v>105.84078212290503</v>
      </c>
      <c r="E12" s="140">
        <f t="shared" si="1"/>
        <v>3136.5</v>
      </c>
    </row>
    <row r="13" spans="1:5" ht="12.75">
      <c r="A13" s="16" t="s">
        <v>9</v>
      </c>
      <c r="B13" s="201">
        <f>SUM(B14:B15)</f>
        <v>344000</v>
      </c>
      <c r="C13" s="201">
        <f>SUM(C14:C15)</f>
        <v>40368.89</v>
      </c>
      <c r="D13" s="139">
        <f t="shared" si="0"/>
        <v>11.735142441860464</v>
      </c>
      <c r="E13" s="140">
        <f t="shared" si="1"/>
        <v>-303631.11</v>
      </c>
    </row>
    <row r="14" spans="1:5" ht="19.5" customHeight="1">
      <c r="A14" s="16" t="s">
        <v>27</v>
      </c>
      <c r="B14" s="201">
        <v>87000</v>
      </c>
      <c r="C14" s="243">
        <v>1896.14</v>
      </c>
      <c r="D14" s="139">
        <f t="shared" si="0"/>
        <v>2.1794712643678165</v>
      </c>
      <c r="E14" s="140">
        <f t="shared" si="1"/>
        <v>-85103.86</v>
      </c>
    </row>
    <row r="15" spans="1:5" ht="18.75" customHeight="1">
      <c r="A15" s="41" t="s">
        <v>160</v>
      </c>
      <c r="B15" s="201">
        <f>SUM(B16:B17)</f>
        <v>257000</v>
      </c>
      <c r="C15" s="201">
        <f>SUM(C16:C17)</f>
        <v>38472.75</v>
      </c>
      <c r="D15" s="139">
        <f t="shared" si="0"/>
        <v>14.969941634241247</v>
      </c>
      <c r="E15" s="140">
        <f t="shared" si="1"/>
        <v>-218527.25</v>
      </c>
    </row>
    <row r="16" spans="1:5" ht="18.75" customHeight="1">
      <c r="A16" s="41" t="s">
        <v>161</v>
      </c>
      <c r="B16" s="201">
        <v>40000</v>
      </c>
      <c r="C16" s="243">
        <v>26614.1</v>
      </c>
      <c r="D16" s="139">
        <f t="shared" si="0"/>
        <v>66.53525</v>
      </c>
      <c r="E16" s="140">
        <f t="shared" si="1"/>
        <v>-13385.900000000001</v>
      </c>
    </row>
    <row r="17" spans="1:5" ht="18" customHeight="1">
      <c r="A17" s="41" t="s">
        <v>162</v>
      </c>
      <c r="B17" s="201">
        <v>217000</v>
      </c>
      <c r="C17" s="243">
        <v>11858.65</v>
      </c>
      <c r="D17" s="139">
        <f t="shared" si="0"/>
        <v>5.464815668202765</v>
      </c>
      <c r="E17" s="140">
        <f t="shared" si="1"/>
        <v>-205141.35</v>
      </c>
    </row>
    <row r="18" spans="1:5" ht="18" customHeight="1">
      <c r="A18" s="41" t="s">
        <v>196</v>
      </c>
      <c r="B18" s="201">
        <v>0</v>
      </c>
      <c r="C18" s="243">
        <v>0</v>
      </c>
      <c r="D18" s="139" t="str">
        <f t="shared" si="0"/>
        <v>   </v>
      </c>
      <c r="E18" s="140">
        <f t="shared" si="1"/>
        <v>0</v>
      </c>
    </row>
    <row r="19" spans="1:5" ht="15" customHeight="1">
      <c r="A19" s="16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6.25" customHeight="1">
      <c r="A20" s="16" t="s">
        <v>28</v>
      </c>
      <c r="B20" s="201">
        <f>B22+B21</f>
        <v>88800</v>
      </c>
      <c r="C20" s="200">
        <f>SUM(C21:C22)</f>
        <v>5344.18</v>
      </c>
      <c r="D20" s="139">
        <f t="shared" si="0"/>
        <v>6.018220720720721</v>
      </c>
      <c r="E20" s="140">
        <f t="shared" si="1"/>
        <v>-83455.82</v>
      </c>
    </row>
    <row r="21" spans="1:5" ht="15.75" customHeight="1">
      <c r="A21" s="41" t="s">
        <v>152</v>
      </c>
      <c r="B21" s="201">
        <v>88800</v>
      </c>
      <c r="C21" s="202">
        <v>5344.18</v>
      </c>
      <c r="D21" s="139">
        <f t="shared" si="0"/>
        <v>6.018220720720721</v>
      </c>
      <c r="E21" s="140">
        <f t="shared" si="1"/>
        <v>-83455.82</v>
      </c>
    </row>
    <row r="22" spans="1:5" ht="15" customHeight="1">
      <c r="A22" s="16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8.75" customHeight="1">
      <c r="A23" s="39" t="s">
        <v>91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8.75" customHeight="1">
      <c r="A24" s="16" t="s">
        <v>76</v>
      </c>
      <c r="B24" s="201">
        <f>SUM(B25)</f>
        <v>0</v>
      </c>
      <c r="C24" s="201">
        <f>SUM(C25)</f>
        <v>0</v>
      </c>
      <c r="D24" s="139" t="str">
        <f t="shared" si="0"/>
        <v>   </v>
      </c>
      <c r="E24" s="140">
        <f t="shared" si="1"/>
        <v>0</v>
      </c>
    </row>
    <row r="25" spans="1:5" ht="24.75" customHeight="1">
      <c r="A25" s="16" t="s">
        <v>77</v>
      </c>
      <c r="B25" s="201">
        <v>0</v>
      </c>
      <c r="C25" s="202">
        <v>0</v>
      </c>
      <c r="D25" s="139" t="str">
        <f t="shared" si="0"/>
        <v>   </v>
      </c>
      <c r="E25" s="140">
        <f t="shared" si="1"/>
        <v>0</v>
      </c>
    </row>
    <row r="26" spans="1:5" ht="24.75" customHeight="1">
      <c r="A26" s="16" t="s">
        <v>31</v>
      </c>
      <c r="B26" s="201">
        <v>0</v>
      </c>
      <c r="C26" s="202">
        <v>0</v>
      </c>
      <c r="D26" s="139" t="str">
        <f t="shared" si="0"/>
        <v>   </v>
      </c>
      <c r="E26" s="140">
        <f t="shared" si="1"/>
        <v>0</v>
      </c>
    </row>
    <row r="27" spans="1:5" ht="17.25" customHeight="1">
      <c r="A27" s="16" t="s">
        <v>32</v>
      </c>
      <c r="B27" s="200">
        <f>B28+B29</f>
        <v>0</v>
      </c>
      <c r="C27" s="200">
        <f>C28+C29</f>
        <v>-12.12</v>
      </c>
      <c r="D27" s="139" t="str">
        <f t="shared" si="0"/>
        <v>   </v>
      </c>
      <c r="E27" s="140">
        <f t="shared" si="1"/>
        <v>-12.12</v>
      </c>
    </row>
    <row r="28" spans="1:5" ht="14.25" customHeight="1">
      <c r="A28" s="16" t="s">
        <v>136</v>
      </c>
      <c r="B28" s="201">
        <v>0</v>
      </c>
      <c r="C28" s="202">
        <v>-12.12</v>
      </c>
      <c r="D28" s="139" t="str">
        <f t="shared" si="0"/>
        <v>   </v>
      </c>
      <c r="E28" s="140">
        <f t="shared" si="1"/>
        <v>-12.12</v>
      </c>
    </row>
    <row r="29" spans="1:5" ht="14.25" customHeight="1">
      <c r="A29" s="16" t="s">
        <v>110</v>
      </c>
      <c r="B29" s="201">
        <v>0</v>
      </c>
      <c r="C29" s="201">
        <v>0</v>
      </c>
      <c r="D29" s="139" t="str">
        <f t="shared" si="0"/>
        <v>   </v>
      </c>
      <c r="E29" s="140">
        <f t="shared" si="1"/>
        <v>0</v>
      </c>
    </row>
    <row r="30" spans="1:5" ht="18" customHeight="1">
      <c r="A30" s="173" t="s">
        <v>10</v>
      </c>
      <c r="B30" s="150">
        <f>SUM(B7,B9,B11,B13,B19,B20,B23,B24,B26,B28,B29,B18)</f>
        <v>1068700</v>
      </c>
      <c r="C30" s="150">
        <f>SUM(C7,C9,C11,C13,C19,C20,C23,C24,C26,C28,C29,C18)</f>
        <v>439702.65</v>
      </c>
      <c r="D30" s="141">
        <f t="shared" si="0"/>
        <v>41.14369327219987</v>
      </c>
      <c r="E30" s="142">
        <f t="shared" si="1"/>
        <v>-628997.35</v>
      </c>
    </row>
    <row r="31" spans="1:5" ht="18" customHeight="1">
      <c r="A31" s="148" t="s">
        <v>140</v>
      </c>
      <c r="B31" s="189">
        <f>SUM(B32:B35,B38,B39,B43+B45)</f>
        <v>4328893</v>
      </c>
      <c r="C31" s="189">
        <f>SUM(C32:C35,C38,C39,C43+C45)</f>
        <v>1366282</v>
      </c>
      <c r="D31" s="141">
        <f t="shared" si="0"/>
        <v>31.56192587804781</v>
      </c>
      <c r="E31" s="142">
        <f t="shared" si="1"/>
        <v>-2962611</v>
      </c>
    </row>
    <row r="32" spans="1:5" ht="16.5" customHeight="1">
      <c r="A32" s="64" t="s">
        <v>34</v>
      </c>
      <c r="B32" s="160">
        <v>1039500</v>
      </c>
      <c r="C32" s="243">
        <v>692260</v>
      </c>
      <c r="D32" s="154">
        <f t="shared" si="0"/>
        <v>66.5954785954786</v>
      </c>
      <c r="E32" s="155">
        <f t="shared" si="1"/>
        <v>-347240</v>
      </c>
    </row>
    <row r="33" spans="1:5" ht="16.5" customHeight="1">
      <c r="A33" s="17" t="s">
        <v>229</v>
      </c>
      <c r="B33" s="160">
        <v>0</v>
      </c>
      <c r="C33" s="243">
        <v>0</v>
      </c>
      <c r="D33" s="154" t="str">
        <f>IF(B33=0,"   ",C33/B33*100)</f>
        <v>   </v>
      </c>
      <c r="E33" s="155">
        <f>C33-B33</f>
        <v>0</v>
      </c>
    </row>
    <row r="34" spans="1:5" ht="24.75" customHeight="1">
      <c r="A34" s="41" t="s">
        <v>51</v>
      </c>
      <c r="B34" s="201">
        <v>90300</v>
      </c>
      <c r="C34" s="243">
        <v>56400</v>
      </c>
      <c r="D34" s="154">
        <f t="shared" si="0"/>
        <v>62.45847176079734</v>
      </c>
      <c r="E34" s="155">
        <f t="shared" si="1"/>
        <v>-33900</v>
      </c>
    </row>
    <row r="35" spans="1:5" ht="24.75" customHeight="1">
      <c r="A35" s="41" t="s">
        <v>148</v>
      </c>
      <c r="B35" s="201">
        <f>SUM(B36:B37)</f>
        <v>6700</v>
      </c>
      <c r="C35" s="201">
        <f>SUM(C36:C37)</f>
        <v>100</v>
      </c>
      <c r="D35" s="154">
        <f t="shared" si="0"/>
        <v>1.4925373134328357</v>
      </c>
      <c r="E35" s="155">
        <f t="shared" si="1"/>
        <v>-6600</v>
      </c>
    </row>
    <row r="36" spans="1:5" ht="16.5" customHeight="1">
      <c r="A36" s="109" t="s">
        <v>163</v>
      </c>
      <c r="B36" s="201">
        <v>100</v>
      </c>
      <c r="C36" s="202">
        <v>100</v>
      </c>
      <c r="D36" s="154">
        <f>IF(B36=0,"   ",C36/B36*100)</f>
        <v>100</v>
      </c>
      <c r="E36" s="155">
        <f>C36-B36</f>
        <v>0</v>
      </c>
    </row>
    <row r="37" spans="1:5" ht="26.25" customHeight="1">
      <c r="A37" s="109" t="s">
        <v>164</v>
      </c>
      <c r="B37" s="201">
        <v>6600</v>
      </c>
      <c r="C37" s="202">
        <v>0</v>
      </c>
      <c r="D37" s="154">
        <f>IF(B37=0,"   ",C37/B37*100)</f>
        <v>0</v>
      </c>
      <c r="E37" s="155">
        <f>C37-B37</f>
        <v>-6600</v>
      </c>
    </row>
    <row r="38" spans="1:5" ht="56.25" customHeight="1">
      <c r="A38" s="16" t="s">
        <v>238</v>
      </c>
      <c r="B38" s="201">
        <v>455900</v>
      </c>
      <c r="C38" s="202">
        <v>455900</v>
      </c>
      <c r="D38" s="154">
        <f>IF(B38=0,"   ",C38/B38*100)</f>
        <v>100</v>
      </c>
      <c r="E38" s="155">
        <f>C38-B38</f>
        <v>0</v>
      </c>
    </row>
    <row r="39" spans="1:5" ht="14.25" customHeight="1">
      <c r="A39" s="41" t="s">
        <v>80</v>
      </c>
      <c r="B39" s="201">
        <f>B40+B42+B41</f>
        <v>1823450</v>
      </c>
      <c r="C39" s="201">
        <f>C40+C42+C41</f>
        <v>161622</v>
      </c>
      <c r="D39" s="154">
        <f t="shared" si="0"/>
        <v>8.863527927829114</v>
      </c>
      <c r="E39" s="155">
        <f t="shared" si="1"/>
        <v>-1661828</v>
      </c>
    </row>
    <row r="40" spans="1:5" ht="16.5" customHeight="1">
      <c r="A40" s="41" t="s">
        <v>109</v>
      </c>
      <c r="B40" s="201">
        <v>310600</v>
      </c>
      <c r="C40" s="202">
        <v>161622</v>
      </c>
      <c r="D40" s="154">
        <f t="shared" si="0"/>
        <v>52.035415325177084</v>
      </c>
      <c r="E40" s="155">
        <f t="shared" si="1"/>
        <v>-148978</v>
      </c>
    </row>
    <row r="41" spans="1:5" ht="16.5" customHeight="1">
      <c r="A41" s="46" t="s">
        <v>296</v>
      </c>
      <c r="B41" s="201">
        <v>1473750</v>
      </c>
      <c r="C41" s="202">
        <v>0</v>
      </c>
      <c r="D41" s="154">
        <f t="shared" si="0"/>
        <v>0</v>
      </c>
      <c r="E41" s="155">
        <f t="shared" si="1"/>
        <v>-1473750</v>
      </c>
    </row>
    <row r="42" spans="1:5" ht="16.5" customHeight="1">
      <c r="A42" s="46" t="s">
        <v>188</v>
      </c>
      <c r="B42" s="201">
        <v>39100</v>
      </c>
      <c r="C42" s="202">
        <v>0</v>
      </c>
      <c r="D42" s="154">
        <f t="shared" si="0"/>
        <v>0</v>
      </c>
      <c r="E42" s="155">
        <f t="shared" si="1"/>
        <v>-39100</v>
      </c>
    </row>
    <row r="43" spans="1:5" ht="27" customHeight="1">
      <c r="A43" s="41" t="s">
        <v>298</v>
      </c>
      <c r="B43" s="201">
        <v>900000</v>
      </c>
      <c r="C43" s="202">
        <v>0</v>
      </c>
      <c r="D43" s="154">
        <f t="shared" si="0"/>
        <v>0</v>
      </c>
      <c r="E43" s="155">
        <f t="shared" si="1"/>
        <v>-900000</v>
      </c>
    </row>
    <row r="44" spans="1:5" ht="37.5" customHeight="1">
      <c r="A44" s="41" t="s">
        <v>103</v>
      </c>
      <c r="B44" s="201">
        <v>0</v>
      </c>
      <c r="C44" s="201">
        <v>0</v>
      </c>
      <c r="D44" s="154" t="str">
        <f t="shared" si="0"/>
        <v>   </v>
      </c>
      <c r="E44" s="155">
        <f t="shared" si="1"/>
        <v>0</v>
      </c>
    </row>
    <row r="45" spans="1:5" ht="15" customHeight="1">
      <c r="A45" s="16" t="s">
        <v>199</v>
      </c>
      <c r="B45" s="201">
        <v>13043</v>
      </c>
      <c r="C45" s="243">
        <v>0</v>
      </c>
      <c r="D45" s="154">
        <f t="shared" si="0"/>
        <v>0</v>
      </c>
      <c r="E45" s="155">
        <f t="shared" si="1"/>
        <v>-13043</v>
      </c>
    </row>
    <row r="46" spans="1:5" ht="21" customHeight="1">
      <c r="A46" s="173" t="s">
        <v>11</v>
      </c>
      <c r="B46" s="150">
        <f>SUM(B30,B31,)</f>
        <v>5397593</v>
      </c>
      <c r="C46" s="150">
        <f>SUM(C30,C31,)</f>
        <v>1805984.65</v>
      </c>
      <c r="D46" s="141">
        <f t="shared" si="0"/>
        <v>33.45907425772932</v>
      </c>
      <c r="E46" s="142">
        <f t="shared" si="1"/>
        <v>-3591608.35</v>
      </c>
    </row>
    <row r="47" spans="1:5" ht="21.75" customHeight="1">
      <c r="A47" s="174" t="s">
        <v>12</v>
      </c>
      <c r="B47" s="150"/>
      <c r="C47" s="162"/>
      <c r="D47" s="154" t="str">
        <f t="shared" si="0"/>
        <v>   </v>
      </c>
      <c r="E47" s="155">
        <f t="shared" si="1"/>
        <v>0</v>
      </c>
    </row>
    <row r="48" spans="1:5" ht="16.5" customHeight="1">
      <c r="A48" s="41" t="s">
        <v>35</v>
      </c>
      <c r="B48" s="152">
        <f>SUM(B49,B52:B53)</f>
        <v>1130000</v>
      </c>
      <c r="C48" s="152">
        <f>SUM(C49,C52:C53)</f>
        <v>545566.19</v>
      </c>
      <c r="D48" s="154">
        <f t="shared" si="0"/>
        <v>48.28019380530973</v>
      </c>
      <c r="E48" s="155">
        <f t="shared" si="1"/>
        <v>-584433.81</v>
      </c>
    </row>
    <row r="49" spans="1:5" ht="13.5" customHeight="1">
      <c r="A49" s="41" t="s">
        <v>36</v>
      </c>
      <c r="B49" s="152">
        <v>1129500</v>
      </c>
      <c r="C49" s="152">
        <v>545566.19</v>
      </c>
      <c r="D49" s="154">
        <f t="shared" si="0"/>
        <v>48.30156617972553</v>
      </c>
      <c r="E49" s="155">
        <f t="shared" si="1"/>
        <v>-583933.81</v>
      </c>
    </row>
    <row r="50" spans="1:5" ht="12.75">
      <c r="A50" s="41" t="s">
        <v>122</v>
      </c>
      <c r="B50" s="152">
        <v>753840</v>
      </c>
      <c r="C50" s="162">
        <v>342692.14</v>
      </c>
      <c r="D50" s="154">
        <f t="shared" si="0"/>
        <v>45.45953252679614</v>
      </c>
      <c r="E50" s="155">
        <f t="shared" si="1"/>
        <v>-411147.86</v>
      </c>
    </row>
    <row r="51" spans="1:5" ht="12.75">
      <c r="A51" s="85" t="s">
        <v>288</v>
      </c>
      <c r="B51" s="152">
        <v>100</v>
      </c>
      <c r="C51" s="162">
        <v>100</v>
      </c>
      <c r="D51" s="154">
        <f>IF(B51=0,"   ",C51/B51*100)</f>
        <v>100</v>
      </c>
      <c r="E51" s="155">
        <f>C51-B51</f>
        <v>0</v>
      </c>
    </row>
    <row r="52" spans="1:5" ht="12.75">
      <c r="A52" s="41" t="s">
        <v>95</v>
      </c>
      <c r="B52" s="152">
        <v>500</v>
      </c>
      <c r="C52" s="153">
        <v>0</v>
      </c>
      <c r="D52" s="154">
        <f t="shared" si="0"/>
        <v>0</v>
      </c>
      <c r="E52" s="155">
        <f t="shared" si="1"/>
        <v>-500</v>
      </c>
    </row>
    <row r="53" spans="1:5" ht="12.75">
      <c r="A53" s="41" t="s">
        <v>52</v>
      </c>
      <c r="B53" s="153">
        <f>SUM(B54)</f>
        <v>0</v>
      </c>
      <c r="C53" s="153">
        <f>SUM(C54)</f>
        <v>0</v>
      </c>
      <c r="D53" s="154" t="str">
        <f t="shared" si="0"/>
        <v>   </v>
      </c>
      <c r="E53" s="155">
        <f t="shared" si="1"/>
        <v>0</v>
      </c>
    </row>
    <row r="54" spans="1:5" ht="26.25">
      <c r="A54" s="105" t="s">
        <v>248</v>
      </c>
      <c r="B54" s="152">
        <v>0</v>
      </c>
      <c r="C54" s="153">
        <v>0</v>
      </c>
      <c r="D54" s="154" t="str">
        <f t="shared" si="0"/>
        <v>   </v>
      </c>
      <c r="E54" s="155">
        <f t="shared" si="1"/>
        <v>0</v>
      </c>
    </row>
    <row r="55" spans="1:5" ht="16.5" customHeight="1">
      <c r="A55" s="41" t="s">
        <v>49</v>
      </c>
      <c r="B55" s="153">
        <f>SUM(B56)</f>
        <v>90300</v>
      </c>
      <c r="C55" s="153">
        <f>SUM(C56)</f>
        <v>44719.95</v>
      </c>
      <c r="D55" s="154">
        <f t="shared" si="0"/>
        <v>49.52375415282392</v>
      </c>
      <c r="E55" s="155">
        <f t="shared" si="1"/>
        <v>-45580.05</v>
      </c>
    </row>
    <row r="56" spans="1:5" ht="17.25" customHeight="1">
      <c r="A56" s="39" t="s">
        <v>107</v>
      </c>
      <c r="B56" s="152">
        <v>90300</v>
      </c>
      <c r="C56" s="153">
        <v>44719.95</v>
      </c>
      <c r="D56" s="154">
        <f t="shared" si="0"/>
        <v>49.52375415282392</v>
      </c>
      <c r="E56" s="155">
        <f t="shared" si="1"/>
        <v>-45580.05</v>
      </c>
    </row>
    <row r="57" spans="1:5" ht="22.5" customHeight="1">
      <c r="A57" s="41" t="s">
        <v>37</v>
      </c>
      <c r="B57" s="152">
        <f>SUM(B58)</f>
        <v>1000</v>
      </c>
      <c r="C57" s="153">
        <f>SUM(C58)</f>
        <v>1000</v>
      </c>
      <c r="D57" s="154">
        <f t="shared" si="0"/>
        <v>100</v>
      </c>
      <c r="E57" s="155">
        <f t="shared" si="1"/>
        <v>0</v>
      </c>
    </row>
    <row r="58" spans="1:5" ht="17.25" customHeight="1">
      <c r="A58" s="75" t="s">
        <v>128</v>
      </c>
      <c r="B58" s="152">
        <v>1000</v>
      </c>
      <c r="C58" s="153">
        <v>1000</v>
      </c>
      <c r="D58" s="154">
        <f t="shared" si="0"/>
        <v>100</v>
      </c>
      <c r="E58" s="155">
        <f t="shared" si="1"/>
        <v>0</v>
      </c>
    </row>
    <row r="59" spans="1:5" ht="18.75" customHeight="1">
      <c r="A59" s="41" t="s">
        <v>38</v>
      </c>
      <c r="B59" s="152">
        <f>B65+B60+B73+B63</f>
        <v>1497303.4100000001</v>
      </c>
      <c r="C59" s="152">
        <f>C65+C60+C73+C63</f>
        <v>964480</v>
      </c>
      <c r="D59" s="154">
        <f t="shared" si="0"/>
        <v>64.41446627040006</v>
      </c>
      <c r="E59" s="155">
        <f t="shared" si="1"/>
        <v>-532823.4100000001</v>
      </c>
    </row>
    <row r="60" spans="1:5" ht="18.75" customHeight="1">
      <c r="A60" s="75" t="s">
        <v>165</v>
      </c>
      <c r="B60" s="25">
        <f>SUM(B61,B62)</f>
        <v>6600</v>
      </c>
      <c r="C60" s="152">
        <f>SUM(C61,C62)</f>
        <v>0</v>
      </c>
      <c r="D60" s="154">
        <f>IF(B60=0,"   ",C60/B60*100)</f>
        <v>0</v>
      </c>
      <c r="E60" s="155">
        <f>C60-B60</f>
        <v>-6600</v>
      </c>
    </row>
    <row r="61" spans="1:5" ht="18.75" customHeight="1">
      <c r="A61" s="75" t="s">
        <v>166</v>
      </c>
      <c r="B61" s="25">
        <v>6600</v>
      </c>
      <c r="C61" s="152">
        <v>0</v>
      </c>
      <c r="D61" s="154">
        <f>IF(B61=0,"   ",C61/B61*100)</f>
        <v>0</v>
      </c>
      <c r="E61" s="155">
        <f>C61-B61</f>
        <v>-6600</v>
      </c>
    </row>
    <row r="62" spans="1:5" ht="18.75" customHeight="1">
      <c r="A62" s="75" t="s">
        <v>189</v>
      </c>
      <c r="B62" s="25">
        <v>0</v>
      </c>
      <c r="C62" s="152">
        <v>0</v>
      </c>
      <c r="D62" s="154" t="str">
        <f>IF(B62=0,"   ",C62/B62*100)</f>
        <v>   </v>
      </c>
      <c r="E62" s="155">
        <f>C62-B62</f>
        <v>0</v>
      </c>
    </row>
    <row r="63" spans="1:5" ht="18.75" customHeight="1">
      <c r="A63" s="75" t="s">
        <v>231</v>
      </c>
      <c r="B63" s="25">
        <f>SUM(B64)</f>
        <v>98079.82</v>
      </c>
      <c r="C63" s="25">
        <f>SUM(C64)</f>
        <v>0</v>
      </c>
      <c r="D63" s="154">
        <f>IF(B63=0,"   ",C63/B63*100)</f>
        <v>0</v>
      </c>
      <c r="E63" s="155">
        <f>C63-B63</f>
        <v>-98079.82</v>
      </c>
    </row>
    <row r="64" spans="1:5" ht="18.75" customHeight="1">
      <c r="A64" s="75" t="s">
        <v>232</v>
      </c>
      <c r="B64" s="25">
        <v>98079.82</v>
      </c>
      <c r="C64" s="152">
        <v>0</v>
      </c>
      <c r="D64" s="154">
        <f>IF(B64=0,"   ",C64/B64*100)</f>
        <v>0</v>
      </c>
      <c r="E64" s="155">
        <f>C64-B64</f>
        <v>-98079.82</v>
      </c>
    </row>
    <row r="65" spans="1:5" ht="12.75">
      <c r="A65" s="96" t="s">
        <v>131</v>
      </c>
      <c r="B65" s="152">
        <f>SUM(B66:B72)</f>
        <v>1345623.59</v>
      </c>
      <c r="C65" s="152">
        <f>SUM(C66:C72)</f>
        <v>917980</v>
      </c>
      <c r="D65" s="154">
        <f t="shared" si="0"/>
        <v>68.21967204067818</v>
      </c>
      <c r="E65" s="155">
        <f t="shared" si="1"/>
        <v>-427643.5900000001</v>
      </c>
    </row>
    <row r="66" spans="1:5" ht="16.5" customHeight="1">
      <c r="A66" s="75" t="s">
        <v>149</v>
      </c>
      <c r="B66" s="152">
        <v>0</v>
      </c>
      <c r="C66" s="152">
        <v>0</v>
      </c>
      <c r="D66" s="154" t="str">
        <f t="shared" si="0"/>
        <v>   </v>
      </c>
      <c r="E66" s="155">
        <f t="shared" si="1"/>
        <v>0</v>
      </c>
    </row>
    <row r="67" spans="1:5" ht="27" customHeight="1">
      <c r="A67" s="71" t="s">
        <v>257</v>
      </c>
      <c r="B67" s="152">
        <v>475523.59</v>
      </c>
      <c r="C67" s="152">
        <v>231800</v>
      </c>
      <c r="D67" s="154">
        <f>IF(B67=0,"   ",C67/B67*100)</f>
        <v>48.74626724617384</v>
      </c>
      <c r="E67" s="155">
        <f>C67-B67</f>
        <v>-243723.59000000003</v>
      </c>
    </row>
    <row r="68" spans="1:5" ht="26.25">
      <c r="A68" s="71" t="s">
        <v>258</v>
      </c>
      <c r="B68" s="152">
        <v>18300</v>
      </c>
      <c r="C68" s="152">
        <v>0</v>
      </c>
      <c r="D68" s="154">
        <f t="shared" si="0"/>
        <v>0</v>
      </c>
      <c r="E68" s="155">
        <f t="shared" si="1"/>
        <v>-18300</v>
      </c>
    </row>
    <row r="69" spans="1:5" ht="26.25">
      <c r="A69" s="71" t="s">
        <v>259</v>
      </c>
      <c r="B69" s="152">
        <v>455900</v>
      </c>
      <c r="C69" s="152">
        <v>455900</v>
      </c>
      <c r="D69" s="154">
        <f t="shared" si="0"/>
        <v>100</v>
      </c>
      <c r="E69" s="155">
        <f t="shared" si="1"/>
        <v>0</v>
      </c>
    </row>
    <row r="70" spans="1:5" ht="26.25">
      <c r="A70" s="71" t="s">
        <v>260</v>
      </c>
      <c r="B70" s="152">
        <v>50700</v>
      </c>
      <c r="C70" s="152">
        <v>50700</v>
      </c>
      <c r="D70" s="154">
        <f t="shared" si="0"/>
        <v>100</v>
      </c>
      <c r="E70" s="155">
        <f t="shared" si="1"/>
        <v>0</v>
      </c>
    </row>
    <row r="71" spans="1:5" ht="26.25">
      <c r="A71" s="71" t="s">
        <v>261</v>
      </c>
      <c r="B71" s="152">
        <v>310600</v>
      </c>
      <c r="C71" s="152">
        <v>161622</v>
      </c>
      <c r="D71" s="154">
        <f t="shared" si="0"/>
        <v>52.035415325177084</v>
      </c>
      <c r="E71" s="155">
        <f t="shared" si="1"/>
        <v>-148978</v>
      </c>
    </row>
    <row r="72" spans="1:5" ht="27" thickBot="1">
      <c r="A72" s="71" t="s">
        <v>262</v>
      </c>
      <c r="B72" s="152">
        <v>34600</v>
      </c>
      <c r="C72" s="152">
        <v>17958</v>
      </c>
      <c r="D72" s="154">
        <f t="shared" si="0"/>
        <v>51.90173410404624</v>
      </c>
      <c r="E72" s="155">
        <f t="shared" si="1"/>
        <v>-16642</v>
      </c>
    </row>
    <row r="73" spans="1:5" ht="13.5" thickBot="1">
      <c r="A73" s="96" t="s">
        <v>177</v>
      </c>
      <c r="B73" s="99">
        <f>SUM(B74)</f>
        <v>47000</v>
      </c>
      <c r="C73" s="99">
        <f>SUM(C74)</f>
        <v>46500</v>
      </c>
      <c r="D73" s="154">
        <f>IF(B73=0,"   ",C73/B73*100)</f>
        <v>98.93617021276596</v>
      </c>
      <c r="E73" s="155">
        <f>C73-B73</f>
        <v>-500</v>
      </c>
    </row>
    <row r="74" spans="1:5" ht="26.25">
      <c r="A74" s="75" t="s">
        <v>178</v>
      </c>
      <c r="B74" s="152">
        <v>47000</v>
      </c>
      <c r="C74" s="152">
        <v>46500</v>
      </c>
      <c r="D74" s="154">
        <f>IF(B74=0,"   ",C74/B74*100)</f>
        <v>98.93617021276596</v>
      </c>
      <c r="E74" s="155">
        <f>C74-B74</f>
        <v>-500</v>
      </c>
    </row>
    <row r="75" spans="1:5" ht="21.75" customHeight="1">
      <c r="A75" s="41" t="s">
        <v>13</v>
      </c>
      <c r="B75" s="152">
        <f>B85+B76</f>
        <v>2719579.16</v>
      </c>
      <c r="C75" s="152">
        <f>C85+C76</f>
        <v>42718.48</v>
      </c>
      <c r="D75" s="154">
        <f t="shared" si="0"/>
        <v>1.5707753842326106</v>
      </c>
      <c r="E75" s="155">
        <f t="shared" si="1"/>
        <v>-2676860.68</v>
      </c>
    </row>
    <row r="76" spans="1:5" ht="17.25" customHeight="1">
      <c r="A76" s="41" t="s">
        <v>150</v>
      </c>
      <c r="B76" s="152">
        <f>B80+B77+B78+B79</f>
        <v>1597360.18</v>
      </c>
      <c r="C76" s="152">
        <f>C80+C77+C78+C79</f>
        <v>6610.18</v>
      </c>
      <c r="D76" s="154">
        <f aca="true" t="shared" si="2" ref="D76:D84">IF(B76=0,"   ",C76/B76*100)</f>
        <v>0.4138190048032874</v>
      </c>
      <c r="E76" s="155">
        <f aca="true" t="shared" si="3" ref="E76:E84">C76-B76</f>
        <v>-1590750</v>
      </c>
    </row>
    <row r="77" spans="1:5" ht="28.5" customHeight="1">
      <c r="A77" s="16" t="s">
        <v>195</v>
      </c>
      <c r="B77" s="152">
        <v>6610.18</v>
      </c>
      <c r="C77" s="152">
        <v>6610.18</v>
      </c>
      <c r="D77" s="154">
        <f t="shared" si="2"/>
        <v>100</v>
      </c>
      <c r="E77" s="155">
        <f t="shared" si="3"/>
        <v>0</v>
      </c>
    </row>
    <row r="78" spans="1:5" ht="17.25" customHeight="1">
      <c r="A78" s="105" t="s">
        <v>292</v>
      </c>
      <c r="B78" s="152">
        <v>20000</v>
      </c>
      <c r="C78" s="152">
        <v>0</v>
      </c>
      <c r="D78" s="154">
        <f t="shared" si="2"/>
        <v>0</v>
      </c>
      <c r="E78" s="155">
        <f t="shared" si="3"/>
        <v>-20000</v>
      </c>
    </row>
    <row r="79" spans="1:5" ht="17.25" customHeight="1">
      <c r="A79" s="16" t="s">
        <v>301</v>
      </c>
      <c r="B79" s="152">
        <v>1473750</v>
      </c>
      <c r="C79" s="152">
        <v>0</v>
      </c>
      <c r="D79" s="154">
        <f t="shared" si="2"/>
        <v>0</v>
      </c>
      <c r="E79" s="155">
        <f t="shared" si="3"/>
        <v>-1473750</v>
      </c>
    </row>
    <row r="80" spans="1:5" ht="17.25" customHeight="1">
      <c r="A80" s="16" t="s">
        <v>322</v>
      </c>
      <c r="B80" s="152">
        <v>97000</v>
      </c>
      <c r="C80" s="152">
        <v>0</v>
      </c>
      <c r="D80" s="154">
        <f t="shared" si="2"/>
        <v>0</v>
      </c>
      <c r="E80" s="155">
        <f t="shared" si="3"/>
        <v>-97000</v>
      </c>
    </row>
    <row r="81" spans="1:5" ht="28.5" customHeight="1">
      <c r="A81" s="105" t="s">
        <v>293</v>
      </c>
      <c r="B81" s="152">
        <f>SUM(B82:B84)</f>
        <v>0</v>
      </c>
      <c r="C81" s="152">
        <f>SUM(C82:C84)</f>
        <v>0</v>
      </c>
      <c r="D81" s="154" t="str">
        <f t="shared" si="2"/>
        <v>   </v>
      </c>
      <c r="E81" s="155">
        <f t="shared" si="3"/>
        <v>0</v>
      </c>
    </row>
    <row r="82" spans="1:5" ht="28.5" customHeight="1">
      <c r="A82" s="105" t="s">
        <v>187</v>
      </c>
      <c r="B82" s="153">
        <v>0</v>
      </c>
      <c r="C82" s="153">
        <v>0</v>
      </c>
      <c r="D82" s="154" t="str">
        <f t="shared" si="2"/>
        <v>   </v>
      </c>
      <c r="E82" s="155">
        <f t="shared" si="3"/>
        <v>0</v>
      </c>
    </row>
    <row r="83" spans="1:5" ht="27.75" customHeight="1">
      <c r="A83" s="105" t="s">
        <v>200</v>
      </c>
      <c r="B83" s="153">
        <v>0</v>
      </c>
      <c r="C83" s="153">
        <v>0</v>
      </c>
      <c r="D83" s="154" t="str">
        <f t="shared" si="2"/>
        <v>   </v>
      </c>
      <c r="E83" s="155">
        <f t="shared" si="3"/>
        <v>0</v>
      </c>
    </row>
    <row r="84" spans="1:5" ht="22.5" customHeight="1">
      <c r="A84" s="105" t="s">
        <v>212</v>
      </c>
      <c r="B84" s="153">
        <v>0</v>
      </c>
      <c r="C84" s="153">
        <v>0</v>
      </c>
      <c r="D84" s="154" t="str">
        <f t="shared" si="2"/>
        <v>   </v>
      </c>
      <c r="E84" s="155">
        <f t="shared" si="3"/>
        <v>0</v>
      </c>
    </row>
    <row r="85" spans="1:5" ht="12.75">
      <c r="A85" s="41" t="s">
        <v>63</v>
      </c>
      <c r="B85" s="152">
        <f>B86+B87+B88+B92</f>
        <v>1122218.98</v>
      </c>
      <c r="C85" s="152">
        <f>C86+C87+C88+C92</f>
        <v>36108.3</v>
      </c>
      <c r="D85" s="154">
        <f t="shared" si="0"/>
        <v>3.2175805830694473</v>
      </c>
      <c r="E85" s="155">
        <f t="shared" si="1"/>
        <v>-1086110.68</v>
      </c>
    </row>
    <row r="86" spans="1:5" ht="12.75">
      <c r="A86" s="41" t="s">
        <v>62</v>
      </c>
      <c r="B86" s="152">
        <v>60000</v>
      </c>
      <c r="C86" s="153">
        <v>36108.3</v>
      </c>
      <c r="D86" s="154">
        <f t="shared" si="0"/>
        <v>60.1805</v>
      </c>
      <c r="E86" s="155">
        <f t="shared" si="1"/>
        <v>-23891.699999999997</v>
      </c>
    </row>
    <row r="87" spans="1:5" ht="12.75">
      <c r="A87" s="41" t="s">
        <v>130</v>
      </c>
      <c r="B87" s="152">
        <v>97032.98</v>
      </c>
      <c r="C87" s="152">
        <v>0</v>
      </c>
      <c r="D87" s="154">
        <f t="shared" si="0"/>
        <v>0</v>
      </c>
      <c r="E87" s="155">
        <f t="shared" si="1"/>
        <v>-97032.98</v>
      </c>
    </row>
    <row r="88" spans="1:5" ht="12.75">
      <c r="A88" s="105" t="s">
        <v>206</v>
      </c>
      <c r="B88" s="152">
        <f>SUM(B89:B91)</f>
        <v>65186</v>
      </c>
      <c r="C88" s="152">
        <f>SUM(C89:C91)</f>
        <v>0</v>
      </c>
      <c r="D88" s="154">
        <f t="shared" si="0"/>
        <v>0</v>
      </c>
      <c r="E88" s="155">
        <f t="shared" si="1"/>
        <v>-65186</v>
      </c>
    </row>
    <row r="89" spans="1:5" ht="26.25">
      <c r="A89" s="105" t="s">
        <v>187</v>
      </c>
      <c r="B89" s="152">
        <v>39100</v>
      </c>
      <c r="C89" s="152">
        <v>0</v>
      </c>
      <c r="D89" s="154">
        <f t="shared" si="0"/>
        <v>0</v>
      </c>
      <c r="E89" s="155">
        <f t="shared" si="1"/>
        <v>-39100</v>
      </c>
    </row>
    <row r="90" spans="1:5" ht="26.25">
      <c r="A90" s="105" t="s">
        <v>200</v>
      </c>
      <c r="B90" s="152">
        <v>13043</v>
      </c>
      <c r="C90" s="152">
        <v>0</v>
      </c>
      <c r="D90" s="154">
        <f>IF(B90=0,"   ",C90/B90*100)</f>
        <v>0</v>
      </c>
      <c r="E90" s="155">
        <f>C90-B90</f>
        <v>-13043</v>
      </c>
    </row>
    <row r="91" spans="1:5" ht="26.25">
      <c r="A91" s="105" t="s">
        <v>212</v>
      </c>
      <c r="B91" s="152">
        <v>13043</v>
      </c>
      <c r="C91" s="152">
        <v>0</v>
      </c>
      <c r="D91" s="154">
        <f>IF(B91=0,"   ",C91/B91*100)</f>
        <v>0</v>
      </c>
      <c r="E91" s="155">
        <f>C91-B91</f>
        <v>-13043</v>
      </c>
    </row>
    <row r="92" spans="1:5" ht="26.25">
      <c r="A92" s="105" t="s">
        <v>302</v>
      </c>
      <c r="B92" s="152">
        <v>900000</v>
      </c>
      <c r="C92" s="152">
        <v>0</v>
      </c>
      <c r="D92" s="154">
        <f>IF(B92=0,"   ",C92/B92*100)</f>
        <v>0</v>
      </c>
      <c r="E92" s="155">
        <f>C92-B92</f>
        <v>-900000</v>
      </c>
    </row>
    <row r="93" spans="1:5" ht="21.75" customHeight="1">
      <c r="A93" s="18" t="s">
        <v>17</v>
      </c>
      <c r="B93" s="152">
        <v>8000</v>
      </c>
      <c r="C93" s="152">
        <v>0</v>
      </c>
      <c r="D93" s="154">
        <f t="shared" si="0"/>
        <v>0</v>
      </c>
      <c r="E93" s="155">
        <f t="shared" si="1"/>
        <v>-8000</v>
      </c>
    </row>
    <row r="94" spans="1:5" ht="22.5" customHeight="1">
      <c r="A94" s="41" t="s">
        <v>41</v>
      </c>
      <c r="B94" s="160">
        <f>B95</f>
        <v>237600</v>
      </c>
      <c r="C94" s="160">
        <f>C95</f>
        <v>115090</v>
      </c>
      <c r="D94" s="154">
        <f t="shared" si="0"/>
        <v>48.43855218855219</v>
      </c>
      <c r="E94" s="155">
        <f t="shared" si="1"/>
        <v>-122510</v>
      </c>
    </row>
    <row r="95" spans="1:5" ht="12.75">
      <c r="A95" s="41" t="s">
        <v>42</v>
      </c>
      <c r="B95" s="152">
        <f>SUM(B96:B97)</f>
        <v>237600</v>
      </c>
      <c r="C95" s="152">
        <f>SUM(C96:C97)</f>
        <v>115090</v>
      </c>
      <c r="D95" s="154">
        <f t="shared" si="0"/>
        <v>48.43855218855219</v>
      </c>
      <c r="E95" s="155">
        <f t="shared" si="1"/>
        <v>-122510</v>
      </c>
    </row>
    <row r="96" spans="1:5" ht="12.75">
      <c r="A96" s="169" t="s">
        <v>143</v>
      </c>
      <c r="B96" s="152">
        <v>111600</v>
      </c>
      <c r="C96" s="153">
        <v>111600</v>
      </c>
      <c r="D96" s="154">
        <f t="shared" si="0"/>
        <v>100</v>
      </c>
      <c r="E96" s="155">
        <f t="shared" si="1"/>
        <v>0</v>
      </c>
    </row>
    <row r="97" spans="1:5" ht="12.75">
      <c r="A97" s="117" t="s">
        <v>204</v>
      </c>
      <c r="B97" s="152">
        <v>126000</v>
      </c>
      <c r="C97" s="153">
        <v>3490</v>
      </c>
      <c r="D97" s="154">
        <f t="shared" si="0"/>
        <v>2.7698412698412698</v>
      </c>
      <c r="E97" s="155">
        <f t="shared" si="1"/>
        <v>-122510</v>
      </c>
    </row>
    <row r="98" spans="1:5" ht="16.5" customHeight="1">
      <c r="A98" s="41" t="s">
        <v>124</v>
      </c>
      <c r="B98" s="152">
        <f>SUM(B99,)</f>
        <v>4000</v>
      </c>
      <c r="C98" s="152">
        <f>SUM(C99,)</f>
        <v>0</v>
      </c>
      <c r="D98" s="154">
        <f t="shared" si="0"/>
        <v>0</v>
      </c>
      <c r="E98" s="155">
        <f t="shared" si="1"/>
        <v>-4000</v>
      </c>
    </row>
    <row r="99" spans="1:5" ht="12.75">
      <c r="A99" s="41" t="s">
        <v>43</v>
      </c>
      <c r="B99" s="152">
        <v>4000</v>
      </c>
      <c r="C99" s="162">
        <v>0</v>
      </c>
      <c r="D99" s="154">
        <f t="shared" si="0"/>
        <v>0</v>
      </c>
      <c r="E99" s="155">
        <f t="shared" si="1"/>
        <v>-4000</v>
      </c>
    </row>
    <row r="100" spans="1:5" ht="28.5" customHeight="1">
      <c r="A100" s="173" t="s">
        <v>15</v>
      </c>
      <c r="B100" s="150">
        <f>SUM(B48,B55,B57,B59,B75,B93,B94,B98,)</f>
        <v>5687782.57</v>
      </c>
      <c r="C100" s="150">
        <f>SUM(C48,C55,C57,C59,C75,C93,C94,C98,)</f>
        <v>1713574.6199999999</v>
      </c>
      <c r="D100" s="141">
        <f>IF(B100=0,"   ",C100/B100*100)</f>
        <v>30.127287724361796</v>
      </c>
      <c r="E100" s="142">
        <f t="shared" si="1"/>
        <v>-3974207.95</v>
      </c>
    </row>
    <row r="101" spans="1:5" s="59" customFormat="1" ht="23.25" customHeight="1">
      <c r="A101" s="80" t="s">
        <v>304</v>
      </c>
      <c r="B101" s="80"/>
      <c r="C101" s="307"/>
      <c r="D101" s="307"/>
      <c r="E101" s="307"/>
    </row>
    <row r="102" spans="1:5" s="59" customFormat="1" ht="12" customHeight="1">
      <c r="A102" s="80" t="s">
        <v>154</v>
      </c>
      <c r="B102" s="80"/>
      <c r="C102" s="81" t="s">
        <v>247</v>
      </c>
      <c r="D102" s="82"/>
      <c r="E102" s="83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</sheetData>
  <sheetProtection/>
  <mergeCells count="2">
    <mergeCell ref="A1:E1"/>
    <mergeCell ref="C101:E101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09" t="s">
        <v>315</v>
      </c>
      <c r="B1" s="309"/>
      <c r="C1" s="309"/>
      <c r="D1" s="309"/>
      <c r="E1" s="30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306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1" t="s">
        <v>45</v>
      </c>
      <c r="B7" s="149">
        <f>SUM(B8)</f>
        <v>10190400</v>
      </c>
      <c r="C7" s="149">
        <f>SUM(C8)</f>
        <v>6361868.13</v>
      </c>
      <c r="D7" s="139">
        <f aca="true" t="shared" si="0" ref="D7:D110">IF(B7=0,"   ",C7/B7*100)</f>
        <v>62.43001383655204</v>
      </c>
      <c r="E7" s="140">
        <f aca="true" t="shared" si="1" ref="E7:E144">C7-B7</f>
        <v>-3828531.87</v>
      </c>
    </row>
    <row r="8" spans="1:5" ht="12.75">
      <c r="A8" s="85" t="s">
        <v>44</v>
      </c>
      <c r="B8" s="84">
        <v>10190400</v>
      </c>
      <c r="C8" s="244">
        <v>6361868.13</v>
      </c>
      <c r="D8" s="139">
        <f t="shared" si="0"/>
        <v>62.43001383655204</v>
      </c>
      <c r="E8" s="140">
        <f t="shared" si="1"/>
        <v>-3828531.87</v>
      </c>
    </row>
    <row r="9" spans="1:5" ht="18.75" customHeight="1">
      <c r="A9" s="151" t="s">
        <v>137</v>
      </c>
      <c r="B9" s="232">
        <f>SUM(B10)</f>
        <v>1410500</v>
      </c>
      <c r="C9" s="232">
        <f>SUM(C10)</f>
        <v>859537.62</v>
      </c>
      <c r="D9" s="139">
        <f t="shared" si="0"/>
        <v>60.93850549450549</v>
      </c>
      <c r="E9" s="140">
        <f t="shared" si="1"/>
        <v>-550962.38</v>
      </c>
    </row>
    <row r="10" spans="1:5" ht="12.75">
      <c r="A10" s="85" t="s">
        <v>138</v>
      </c>
      <c r="B10" s="233">
        <v>1410500</v>
      </c>
      <c r="C10" s="244">
        <v>859537.62</v>
      </c>
      <c r="D10" s="139">
        <f t="shared" si="0"/>
        <v>60.93850549450549</v>
      </c>
      <c r="E10" s="140">
        <f t="shared" si="1"/>
        <v>-550962.38</v>
      </c>
    </row>
    <row r="11" spans="1:5" ht="17.25" customHeight="1">
      <c r="A11" s="85" t="s">
        <v>7</v>
      </c>
      <c r="B11" s="233">
        <f>SUM(B12:B12)</f>
        <v>0</v>
      </c>
      <c r="C11" s="232">
        <f>SUM(C12)</f>
        <v>0</v>
      </c>
      <c r="D11" s="139" t="str">
        <f t="shared" si="0"/>
        <v>   </v>
      </c>
      <c r="E11" s="140">
        <f t="shared" si="1"/>
        <v>0</v>
      </c>
    </row>
    <row r="12" spans="1:5" ht="12.75">
      <c r="A12" s="85" t="s">
        <v>26</v>
      </c>
      <c r="B12" s="233">
        <v>0</v>
      </c>
      <c r="C12" s="244">
        <v>0</v>
      </c>
      <c r="D12" s="139" t="str">
        <f t="shared" si="0"/>
        <v>   </v>
      </c>
      <c r="E12" s="140">
        <f t="shared" si="1"/>
        <v>0</v>
      </c>
    </row>
    <row r="13" spans="1:5" ht="16.5" customHeight="1">
      <c r="A13" s="85" t="s">
        <v>9</v>
      </c>
      <c r="B13" s="233">
        <f>SUM(B14:B15)</f>
        <v>5858000</v>
      </c>
      <c r="C13" s="233">
        <f>SUM(C14:C15)</f>
        <v>1235056.67</v>
      </c>
      <c r="D13" s="139">
        <f t="shared" si="0"/>
        <v>21.08324803687265</v>
      </c>
      <c r="E13" s="140">
        <f t="shared" si="1"/>
        <v>-4622943.33</v>
      </c>
    </row>
    <row r="14" spans="1:5" ht="12.75">
      <c r="A14" s="85" t="s">
        <v>27</v>
      </c>
      <c r="B14" s="233">
        <v>3405000</v>
      </c>
      <c r="C14" s="244">
        <v>244674.45</v>
      </c>
      <c r="D14" s="139">
        <f t="shared" si="0"/>
        <v>7.185740088105727</v>
      </c>
      <c r="E14" s="140">
        <f t="shared" si="1"/>
        <v>-3160325.55</v>
      </c>
    </row>
    <row r="15" spans="1:5" ht="12.75">
      <c r="A15" s="41" t="s">
        <v>160</v>
      </c>
      <c r="B15" s="31">
        <f>SUM(B16:B17)</f>
        <v>2453000</v>
      </c>
      <c r="C15" s="31">
        <f>SUM(C16:C17)</f>
        <v>990382.22</v>
      </c>
      <c r="D15" s="139">
        <f t="shared" si="0"/>
        <v>40.374326131267836</v>
      </c>
      <c r="E15" s="140">
        <f t="shared" si="1"/>
        <v>-1462617.78</v>
      </c>
    </row>
    <row r="16" spans="1:5" ht="12.75">
      <c r="A16" s="41" t="s">
        <v>161</v>
      </c>
      <c r="B16" s="152">
        <v>974000</v>
      </c>
      <c r="C16" s="244">
        <v>780512.88</v>
      </c>
      <c r="D16" s="139">
        <f t="shared" si="0"/>
        <v>80.13479260780288</v>
      </c>
      <c r="E16" s="140">
        <f t="shared" si="1"/>
        <v>-193487.12</v>
      </c>
    </row>
    <row r="17" spans="1:5" ht="12.75">
      <c r="A17" s="41" t="s">
        <v>162</v>
      </c>
      <c r="B17" s="233">
        <v>1479000</v>
      </c>
      <c r="C17" s="244">
        <v>209869.34</v>
      </c>
      <c r="D17" s="139">
        <f t="shared" si="0"/>
        <v>14.18994861392833</v>
      </c>
      <c r="E17" s="140">
        <f t="shared" si="1"/>
        <v>-1269130.66</v>
      </c>
    </row>
    <row r="18" spans="1:5" ht="12.75">
      <c r="A18" s="85" t="s">
        <v>89</v>
      </c>
      <c r="B18" s="233">
        <v>0</v>
      </c>
      <c r="C18" s="234">
        <v>0</v>
      </c>
      <c r="D18" s="139" t="str">
        <f t="shared" si="0"/>
        <v>   </v>
      </c>
      <c r="E18" s="140">
        <f t="shared" si="1"/>
        <v>0</v>
      </c>
    </row>
    <row r="19" spans="1:5" ht="27" customHeight="1">
      <c r="A19" s="85" t="s">
        <v>28</v>
      </c>
      <c r="B19" s="233">
        <f>SUM(B20:B23)</f>
        <v>1681700</v>
      </c>
      <c r="C19" s="233">
        <f>SUM(C20:C23)</f>
        <v>378312.48</v>
      </c>
      <c r="D19" s="139">
        <f t="shared" si="0"/>
        <v>22.495836356068263</v>
      </c>
      <c r="E19" s="140">
        <f t="shared" si="1"/>
        <v>-1303387.52</v>
      </c>
    </row>
    <row r="20" spans="1:5" ht="12.75">
      <c r="A20" s="86" t="s">
        <v>153</v>
      </c>
      <c r="B20" s="233">
        <v>1180000</v>
      </c>
      <c r="C20" s="244">
        <v>296670.49</v>
      </c>
      <c r="D20" s="154">
        <f t="shared" si="0"/>
        <v>25.141566949152544</v>
      </c>
      <c r="E20" s="155">
        <f t="shared" si="1"/>
        <v>-883329.51</v>
      </c>
    </row>
    <row r="21" spans="1:5" ht="12.75">
      <c r="A21" s="41" t="s">
        <v>152</v>
      </c>
      <c r="B21" s="233">
        <v>0</v>
      </c>
      <c r="C21" s="234">
        <v>0</v>
      </c>
      <c r="D21" s="154" t="str">
        <f t="shared" si="0"/>
        <v>   </v>
      </c>
      <c r="E21" s="155">
        <f t="shared" si="1"/>
        <v>0</v>
      </c>
    </row>
    <row r="22" spans="1:5" ht="24" customHeight="1">
      <c r="A22" s="156" t="s">
        <v>30</v>
      </c>
      <c r="B22" s="233">
        <v>16000</v>
      </c>
      <c r="C22" s="244">
        <v>8646.48</v>
      </c>
      <c r="D22" s="154">
        <f t="shared" si="0"/>
        <v>54.0405</v>
      </c>
      <c r="E22" s="155">
        <f t="shared" si="1"/>
        <v>-7353.52</v>
      </c>
    </row>
    <row r="23" spans="1:5" ht="42" customHeight="1">
      <c r="A23" s="16" t="s">
        <v>201</v>
      </c>
      <c r="B23" s="233">
        <v>485700</v>
      </c>
      <c r="C23" s="244">
        <v>72995.51</v>
      </c>
      <c r="D23" s="154">
        <f t="shared" si="0"/>
        <v>15.02892938027589</v>
      </c>
      <c r="E23" s="155">
        <f t="shared" si="1"/>
        <v>-412704.49</v>
      </c>
    </row>
    <row r="24" spans="1:5" ht="19.5" customHeight="1">
      <c r="A24" s="39" t="s">
        <v>91</v>
      </c>
      <c r="B24" s="233">
        <v>36300</v>
      </c>
      <c r="C24" s="244">
        <v>36301.24</v>
      </c>
      <c r="D24" s="154">
        <f t="shared" si="0"/>
        <v>100.00341597796142</v>
      </c>
      <c r="E24" s="155">
        <f t="shared" si="1"/>
        <v>1.2399999999979627</v>
      </c>
    </row>
    <row r="25" spans="1:5" ht="15.75" customHeight="1">
      <c r="A25" s="156" t="s">
        <v>76</v>
      </c>
      <c r="B25" s="233">
        <f>SUM(B26:B27)</f>
        <v>3496800</v>
      </c>
      <c r="C25" s="233">
        <f>SUM(C26:C27)</f>
        <v>428562.22</v>
      </c>
      <c r="D25" s="154">
        <f t="shared" si="0"/>
        <v>12.255840196751315</v>
      </c>
      <c r="E25" s="155">
        <f t="shared" si="1"/>
        <v>-3068237.7800000003</v>
      </c>
    </row>
    <row r="26" spans="1:5" ht="15.75" customHeight="1">
      <c r="A26" s="16" t="s">
        <v>202</v>
      </c>
      <c r="B26" s="233">
        <v>3468800</v>
      </c>
      <c r="C26" s="233">
        <v>0</v>
      </c>
      <c r="D26" s="154">
        <f t="shared" si="0"/>
        <v>0</v>
      </c>
      <c r="E26" s="155">
        <f t="shared" si="1"/>
        <v>-3468800</v>
      </c>
    </row>
    <row r="27" spans="1:5" ht="25.5" customHeight="1">
      <c r="A27" s="16" t="s">
        <v>230</v>
      </c>
      <c r="B27" s="233">
        <v>28000</v>
      </c>
      <c r="C27" s="244">
        <v>428562.22</v>
      </c>
      <c r="D27" s="154">
        <f t="shared" si="0"/>
        <v>1530.579357142857</v>
      </c>
      <c r="E27" s="155">
        <f t="shared" si="1"/>
        <v>400562.22</v>
      </c>
    </row>
    <row r="28" spans="1:5" ht="15" customHeight="1">
      <c r="A28" s="156" t="s">
        <v>31</v>
      </c>
      <c r="B28" s="233">
        <v>0</v>
      </c>
      <c r="C28" s="233">
        <v>0</v>
      </c>
      <c r="D28" s="154" t="str">
        <f t="shared" si="0"/>
        <v>   </v>
      </c>
      <c r="E28" s="155">
        <f t="shared" si="1"/>
        <v>0</v>
      </c>
    </row>
    <row r="29" spans="1:5" ht="12.75">
      <c r="A29" s="156" t="s">
        <v>32</v>
      </c>
      <c r="B29" s="233">
        <f>B30+B31</f>
        <v>0</v>
      </c>
      <c r="C29" s="233">
        <f>C30+C31</f>
        <v>0</v>
      </c>
      <c r="D29" s="154" t="str">
        <f t="shared" si="0"/>
        <v>   </v>
      </c>
      <c r="E29" s="155">
        <f t="shared" si="1"/>
        <v>0</v>
      </c>
    </row>
    <row r="30" spans="1:5" ht="13.5" customHeight="1">
      <c r="A30" s="156" t="s">
        <v>46</v>
      </c>
      <c r="B30" s="233">
        <v>0</v>
      </c>
      <c r="C30" s="233">
        <v>0</v>
      </c>
      <c r="D30" s="154" t="str">
        <f t="shared" si="0"/>
        <v>   </v>
      </c>
      <c r="E30" s="155">
        <f t="shared" si="1"/>
        <v>0</v>
      </c>
    </row>
    <row r="31" spans="1:5" ht="15.75" customHeight="1">
      <c r="A31" s="156" t="s">
        <v>110</v>
      </c>
      <c r="B31" s="233">
        <v>0</v>
      </c>
      <c r="C31" s="234">
        <v>0</v>
      </c>
      <c r="D31" s="154" t="str">
        <f t="shared" si="0"/>
        <v>   </v>
      </c>
      <c r="E31" s="155">
        <f t="shared" si="1"/>
        <v>0</v>
      </c>
    </row>
    <row r="32" spans="1:5" ht="15" customHeight="1">
      <c r="A32" s="157" t="s">
        <v>10</v>
      </c>
      <c r="B32" s="150">
        <f>SUM(B7,B9,B11,B13,B18,B19,B24,B25,B28,B29,)</f>
        <v>22673700</v>
      </c>
      <c r="C32" s="150">
        <f>SUM(C7,C9,C11,C13,C18,C19,C24,C25,C28,C29,)</f>
        <v>9299638.360000001</v>
      </c>
      <c r="D32" s="141">
        <f t="shared" si="0"/>
        <v>41.015089553094555</v>
      </c>
      <c r="E32" s="142">
        <f t="shared" si="1"/>
        <v>-13374061.639999999</v>
      </c>
    </row>
    <row r="33" spans="1:5" ht="18" customHeight="1">
      <c r="A33" s="158" t="s">
        <v>140</v>
      </c>
      <c r="B33" s="189">
        <f>B34+B36+B37+B40+B43+B44+B45+B46+B47+B52+B41+B42</f>
        <v>62422786.15</v>
      </c>
      <c r="C33" s="189">
        <f>C34+C36+C37+C40+C43+C44+C45+C46+C47+C52+C41+C42</f>
        <v>5536362.43</v>
      </c>
      <c r="D33" s="141">
        <f t="shared" si="0"/>
        <v>8.869137011437289</v>
      </c>
      <c r="E33" s="142">
        <f t="shared" si="1"/>
        <v>-56886423.72</v>
      </c>
    </row>
    <row r="34" spans="1:5" ht="15" customHeight="1">
      <c r="A34" s="159" t="s">
        <v>34</v>
      </c>
      <c r="B34" s="160">
        <v>1845600</v>
      </c>
      <c r="C34" s="244">
        <v>1229100</v>
      </c>
      <c r="D34" s="154">
        <f t="shared" si="0"/>
        <v>66.5962288686606</v>
      </c>
      <c r="E34" s="155">
        <f t="shared" si="1"/>
        <v>-616500</v>
      </c>
    </row>
    <row r="35" spans="1:5" ht="15" customHeight="1">
      <c r="A35" s="17" t="s">
        <v>229</v>
      </c>
      <c r="B35" s="160">
        <v>0</v>
      </c>
      <c r="C35" s="244">
        <v>0</v>
      </c>
      <c r="D35" s="154" t="str">
        <f>IF(B35=0,"   ",C35/B35*100)</f>
        <v>   </v>
      </c>
      <c r="E35" s="155">
        <f>C35-B35</f>
        <v>0</v>
      </c>
    </row>
    <row r="36" spans="1:5" ht="24.75" customHeight="1">
      <c r="A36" s="156" t="s">
        <v>51</v>
      </c>
      <c r="B36" s="233">
        <v>361400</v>
      </c>
      <c r="C36" s="244">
        <v>273270</v>
      </c>
      <c r="D36" s="154">
        <f t="shared" si="0"/>
        <v>75.61427780852242</v>
      </c>
      <c r="E36" s="155">
        <f t="shared" si="1"/>
        <v>-88130</v>
      </c>
    </row>
    <row r="37" spans="1:5" ht="24.75" customHeight="1">
      <c r="A37" s="156" t="s">
        <v>148</v>
      </c>
      <c r="B37" s="233">
        <f>SUM(B38:B39)</f>
        <v>40000</v>
      </c>
      <c r="C37" s="233">
        <f>SUM(C38:C39)</f>
        <v>0</v>
      </c>
      <c r="D37" s="154">
        <f t="shared" si="0"/>
        <v>0</v>
      </c>
      <c r="E37" s="155">
        <f t="shared" si="1"/>
        <v>-40000</v>
      </c>
    </row>
    <row r="38" spans="1:5" ht="13.5" customHeight="1">
      <c r="A38" s="109" t="s">
        <v>163</v>
      </c>
      <c r="B38" s="233">
        <v>600</v>
      </c>
      <c r="C38" s="234">
        <v>0</v>
      </c>
      <c r="D38" s="154">
        <f>IF(B38=0,"   ",C38/B38*100)</f>
        <v>0</v>
      </c>
      <c r="E38" s="155">
        <f>C38-B38</f>
        <v>-600</v>
      </c>
    </row>
    <row r="39" spans="1:5" ht="24.75" customHeight="1">
      <c r="A39" s="109" t="s">
        <v>164</v>
      </c>
      <c r="B39" s="233">
        <v>39400</v>
      </c>
      <c r="C39" s="234">
        <v>0</v>
      </c>
      <c r="D39" s="154">
        <f>IF(B39=0,"   ",C39/B39*100)</f>
        <v>0</v>
      </c>
      <c r="E39" s="155">
        <f>C39-B39</f>
        <v>-39400</v>
      </c>
    </row>
    <row r="40" spans="1:5" ht="42" customHeight="1">
      <c r="A40" s="156" t="s">
        <v>123</v>
      </c>
      <c r="B40" s="233">
        <v>0</v>
      </c>
      <c r="C40" s="234">
        <v>0</v>
      </c>
      <c r="D40" s="154" t="str">
        <f t="shared" si="0"/>
        <v>   </v>
      </c>
      <c r="E40" s="155">
        <f t="shared" si="1"/>
        <v>0</v>
      </c>
    </row>
    <row r="41" spans="1:5" ht="33" customHeight="1">
      <c r="A41" s="41" t="s">
        <v>298</v>
      </c>
      <c r="B41" s="233">
        <v>1700000</v>
      </c>
      <c r="C41" s="234">
        <v>0</v>
      </c>
      <c r="D41" s="154">
        <f t="shared" si="0"/>
        <v>0</v>
      </c>
      <c r="E41" s="155">
        <f t="shared" si="1"/>
        <v>-1700000</v>
      </c>
    </row>
    <row r="42" spans="1:5" ht="33" customHeight="1">
      <c r="A42" s="41" t="s">
        <v>299</v>
      </c>
      <c r="B42" s="233">
        <v>280000</v>
      </c>
      <c r="C42" s="234">
        <v>280000</v>
      </c>
      <c r="D42" s="154">
        <f t="shared" si="0"/>
        <v>100</v>
      </c>
      <c r="E42" s="155">
        <f t="shared" si="1"/>
        <v>0</v>
      </c>
    </row>
    <row r="43" spans="1:5" ht="47.25" customHeight="1">
      <c r="A43" s="16" t="s">
        <v>219</v>
      </c>
      <c r="B43" s="245">
        <v>6213445.91</v>
      </c>
      <c r="C43" s="246">
        <v>0</v>
      </c>
      <c r="D43" s="186">
        <f>IF(B43=0,"   ",C43/B43)</f>
        <v>0</v>
      </c>
      <c r="E43" s="187">
        <f>C43-B43</f>
        <v>-6213445.91</v>
      </c>
    </row>
    <row r="44" spans="1:5" ht="57" customHeight="1">
      <c r="A44" s="16" t="s">
        <v>265</v>
      </c>
      <c r="B44" s="245">
        <v>1221300</v>
      </c>
      <c r="C44" s="246">
        <v>439227</v>
      </c>
      <c r="D44" s="186">
        <f>IF(B44=0,"   ",C44/B44)</f>
        <v>0.3596389093588799</v>
      </c>
      <c r="E44" s="187">
        <f>C44-B44</f>
        <v>-782073</v>
      </c>
    </row>
    <row r="45" spans="1:5" ht="51" customHeight="1">
      <c r="A45" s="16" t="s">
        <v>240</v>
      </c>
      <c r="B45" s="235">
        <v>1612800</v>
      </c>
      <c r="C45" s="236">
        <v>1103789.8</v>
      </c>
      <c r="D45" s="154">
        <f t="shared" si="0"/>
        <v>68.43934771825397</v>
      </c>
      <c r="E45" s="155">
        <f t="shared" si="1"/>
        <v>-509010.19999999995</v>
      </c>
    </row>
    <row r="46" spans="1:5" ht="65.25" customHeight="1">
      <c r="A46" s="194" t="s">
        <v>271</v>
      </c>
      <c r="B46" s="235">
        <v>6082988.39</v>
      </c>
      <c r="C46" s="236">
        <v>1329696.43</v>
      </c>
      <c r="D46" s="154"/>
      <c r="E46" s="155">
        <f t="shared" si="1"/>
        <v>-4753291.96</v>
      </c>
    </row>
    <row r="47" spans="1:5" ht="15" customHeight="1">
      <c r="A47" s="156" t="s">
        <v>55</v>
      </c>
      <c r="B47" s="235">
        <f>B51+B48+B49+B50</f>
        <v>42500494.7</v>
      </c>
      <c r="C47" s="235">
        <f>C51+C48+C49+C50</f>
        <v>602119</v>
      </c>
      <c r="D47" s="154">
        <f t="shared" si="0"/>
        <v>1.4167340974503997</v>
      </c>
      <c r="E47" s="155">
        <f t="shared" si="1"/>
        <v>-41898375.7</v>
      </c>
    </row>
    <row r="48" spans="1:5" ht="15" customHeight="1">
      <c r="A48" s="46" t="s">
        <v>188</v>
      </c>
      <c r="B48" s="235">
        <v>1445500</v>
      </c>
      <c r="C48" s="235">
        <v>0</v>
      </c>
      <c r="D48" s="154">
        <f t="shared" si="0"/>
        <v>0</v>
      </c>
      <c r="E48" s="155">
        <f t="shared" si="1"/>
        <v>-1445500</v>
      </c>
    </row>
    <row r="49" spans="1:5" ht="15" customHeight="1">
      <c r="A49" s="16" t="s">
        <v>280</v>
      </c>
      <c r="B49" s="235">
        <v>39181634.7</v>
      </c>
      <c r="C49" s="235">
        <v>0</v>
      </c>
      <c r="D49" s="154">
        <f>IF(B49=0,"   ",C49/B49*100)</f>
        <v>0</v>
      </c>
      <c r="E49" s="155">
        <f>C49-B49</f>
        <v>-39181634.7</v>
      </c>
    </row>
    <row r="50" spans="1:5" ht="15" customHeight="1">
      <c r="A50" s="46" t="s">
        <v>296</v>
      </c>
      <c r="B50" s="235">
        <v>999160</v>
      </c>
      <c r="C50" s="235">
        <v>0</v>
      </c>
      <c r="D50" s="154">
        <f>IF(B50=0,"   ",C50/B50*100)</f>
        <v>0</v>
      </c>
      <c r="E50" s="155">
        <f>C50-B50</f>
        <v>-999160</v>
      </c>
    </row>
    <row r="51" spans="1:5" ht="18" customHeight="1">
      <c r="A51" s="156" t="s">
        <v>109</v>
      </c>
      <c r="B51" s="235">
        <v>874200</v>
      </c>
      <c r="C51" s="236">
        <v>602119</v>
      </c>
      <c r="D51" s="154">
        <f t="shared" si="0"/>
        <v>68.8765728666209</v>
      </c>
      <c r="E51" s="155">
        <f t="shared" si="1"/>
        <v>-272081</v>
      </c>
    </row>
    <row r="52" spans="1:5" ht="18" customHeight="1">
      <c r="A52" s="156" t="s">
        <v>185</v>
      </c>
      <c r="B52" s="235">
        <v>564757.15</v>
      </c>
      <c r="C52" s="236">
        <v>279160.2</v>
      </c>
      <c r="D52" s="154">
        <f t="shared" si="0"/>
        <v>49.43013116345672</v>
      </c>
      <c r="E52" s="155">
        <f t="shared" si="1"/>
        <v>-285596.95</v>
      </c>
    </row>
    <row r="53" spans="1:5" ht="29.25" customHeight="1">
      <c r="A53" s="157" t="s">
        <v>11</v>
      </c>
      <c r="B53" s="150">
        <f>SUM(B32,B33,)</f>
        <v>85096486.15</v>
      </c>
      <c r="C53" s="150">
        <f>SUM(C32,C33,)</f>
        <v>14836000.790000001</v>
      </c>
      <c r="D53" s="141">
        <f t="shared" si="0"/>
        <v>17.43432832684596</v>
      </c>
      <c r="E53" s="142">
        <f t="shared" si="1"/>
        <v>-70260485.36</v>
      </c>
    </row>
    <row r="54" spans="1:5" ht="16.5" customHeight="1">
      <c r="A54" s="30"/>
      <c r="B54" s="160"/>
      <c r="C54" s="152"/>
      <c r="D54" s="154" t="str">
        <f t="shared" si="0"/>
        <v>   </v>
      </c>
      <c r="E54" s="155"/>
    </row>
    <row r="55" spans="1:5" ht="12.75">
      <c r="A55" s="161" t="s">
        <v>12</v>
      </c>
      <c r="B55" s="150"/>
      <c r="C55" s="162"/>
      <c r="D55" s="154" t="str">
        <f t="shared" si="0"/>
        <v>   </v>
      </c>
      <c r="E55" s="155"/>
    </row>
    <row r="56" spans="1:5" ht="18" customHeight="1">
      <c r="A56" s="156" t="s">
        <v>35</v>
      </c>
      <c r="B56" s="152">
        <f>SUM(B57,B60,B61)</f>
        <v>3298800</v>
      </c>
      <c r="C56" s="152">
        <f>SUM(C57,C60,C61)</f>
        <v>1847755.18</v>
      </c>
      <c r="D56" s="154">
        <f t="shared" si="0"/>
        <v>56.012949557414814</v>
      </c>
      <c r="E56" s="155">
        <f t="shared" si="1"/>
        <v>-1451044.82</v>
      </c>
    </row>
    <row r="57" spans="1:5" ht="16.5" customHeight="1">
      <c r="A57" s="156" t="s">
        <v>36</v>
      </c>
      <c r="B57" s="152">
        <v>3226800</v>
      </c>
      <c r="C57" s="153">
        <v>1791155.18</v>
      </c>
      <c r="D57" s="154">
        <f t="shared" si="0"/>
        <v>55.508713896119986</v>
      </c>
      <c r="E57" s="155">
        <f t="shared" si="1"/>
        <v>-1435644.82</v>
      </c>
    </row>
    <row r="58" spans="1:5" ht="12.75">
      <c r="A58" s="156" t="s">
        <v>121</v>
      </c>
      <c r="B58" s="152">
        <v>1562519</v>
      </c>
      <c r="C58" s="162">
        <v>1110447.3</v>
      </c>
      <c r="D58" s="154">
        <f t="shared" si="0"/>
        <v>71.06776301600173</v>
      </c>
      <c r="E58" s="155">
        <f t="shared" si="1"/>
        <v>-452071.69999999995</v>
      </c>
    </row>
    <row r="59" spans="1:5" ht="12.75">
      <c r="A59" s="85" t="s">
        <v>288</v>
      </c>
      <c r="B59" s="152">
        <v>600</v>
      </c>
      <c r="C59" s="162">
        <v>0</v>
      </c>
      <c r="D59" s="154">
        <f>IF(B59=0,"   ",C59/B59*100)</f>
        <v>0</v>
      </c>
      <c r="E59" s="155">
        <f>C59-B59</f>
        <v>-600</v>
      </c>
    </row>
    <row r="60" spans="1:5" ht="12.75">
      <c r="A60" s="156" t="s">
        <v>95</v>
      </c>
      <c r="B60" s="152">
        <v>10000</v>
      </c>
      <c r="C60" s="162">
        <v>0</v>
      </c>
      <c r="D60" s="154">
        <f t="shared" si="0"/>
        <v>0</v>
      </c>
      <c r="E60" s="155">
        <f t="shared" si="1"/>
        <v>-10000</v>
      </c>
    </row>
    <row r="61" spans="1:5" ht="12.75">
      <c r="A61" s="156" t="s">
        <v>52</v>
      </c>
      <c r="B61" s="153">
        <f>SUM(B62+B64+B65+B63)</f>
        <v>62000</v>
      </c>
      <c r="C61" s="153">
        <f>SUM(C62+C64+C65+C63)</f>
        <v>56600</v>
      </c>
      <c r="D61" s="154">
        <f t="shared" si="0"/>
        <v>91.29032258064517</v>
      </c>
      <c r="E61" s="155">
        <f t="shared" si="1"/>
        <v>-5400</v>
      </c>
    </row>
    <row r="62" spans="1:5" ht="26.25" customHeight="1">
      <c r="A62" s="105" t="s">
        <v>244</v>
      </c>
      <c r="B62" s="152">
        <v>60000</v>
      </c>
      <c r="C62" s="152">
        <v>56600</v>
      </c>
      <c r="D62" s="154">
        <f t="shared" si="0"/>
        <v>94.33333333333334</v>
      </c>
      <c r="E62" s="155">
        <f t="shared" si="1"/>
        <v>-3400</v>
      </c>
    </row>
    <row r="63" spans="1:5" ht="26.25" customHeight="1">
      <c r="A63" s="105" t="s">
        <v>243</v>
      </c>
      <c r="B63" s="152">
        <v>2000</v>
      </c>
      <c r="C63" s="152">
        <v>0</v>
      </c>
      <c r="D63" s="154">
        <f t="shared" si="0"/>
        <v>0</v>
      </c>
      <c r="E63" s="155">
        <f t="shared" si="1"/>
        <v>-2000</v>
      </c>
    </row>
    <row r="64" spans="1:5" ht="26.25" customHeight="1">
      <c r="A64" s="105" t="s">
        <v>249</v>
      </c>
      <c r="B64" s="152">
        <v>0</v>
      </c>
      <c r="C64" s="152">
        <v>0</v>
      </c>
      <c r="D64" s="154" t="str">
        <f t="shared" si="0"/>
        <v>   </v>
      </c>
      <c r="E64" s="155">
        <f t="shared" si="1"/>
        <v>0</v>
      </c>
    </row>
    <row r="65" spans="1:5" ht="12.75">
      <c r="A65" s="16" t="s">
        <v>245</v>
      </c>
      <c r="B65" s="152">
        <v>0</v>
      </c>
      <c r="C65" s="152">
        <v>0</v>
      </c>
      <c r="D65" s="154" t="str">
        <f t="shared" si="0"/>
        <v>   </v>
      </c>
      <c r="E65" s="155">
        <f t="shared" si="1"/>
        <v>0</v>
      </c>
    </row>
    <row r="66" spans="1:5" ht="21" customHeight="1">
      <c r="A66" s="156" t="s">
        <v>49</v>
      </c>
      <c r="B66" s="153">
        <f>SUM(B67)</f>
        <v>361400</v>
      </c>
      <c r="C66" s="153">
        <f>SUM(C67)</f>
        <v>254189.66</v>
      </c>
      <c r="D66" s="154">
        <f t="shared" si="0"/>
        <v>70.33471499723298</v>
      </c>
      <c r="E66" s="155">
        <f t="shared" si="1"/>
        <v>-107210.34</v>
      </c>
    </row>
    <row r="67" spans="1:5" ht="17.25" customHeight="1">
      <c r="A67" s="156" t="s">
        <v>107</v>
      </c>
      <c r="B67" s="152">
        <v>361400</v>
      </c>
      <c r="C67" s="153">
        <v>254189.66</v>
      </c>
      <c r="D67" s="154">
        <f t="shared" si="0"/>
        <v>70.33471499723298</v>
      </c>
      <c r="E67" s="155">
        <f t="shared" si="1"/>
        <v>-107210.34</v>
      </c>
    </row>
    <row r="68" spans="1:5" ht="15.75" customHeight="1">
      <c r="A68" s="156" t="s">
        <v>37</v>
      </c>
      <c r="B68" s="153">
        <f>SUM(B69+B72)</f>
        <v>982400</v>
      </c>
      <c r="C68" s="153">
        <f>SUM(C69+C72)</f>
        <v>423599.58</v>
      </c>
      <c r="D68" s="154">
        <f t="shared" si="0"/>
        <v>43.118849755700325</v>
      </c>
      <c r="E68" s="155">
        <f t="shared" si="1"/>
        <v>-558800.4199999999</v>
      </c>
    </row>
    <row r="69" spans="1:5" ht="27" customHeight="1">
      <c r="A69" s="156" t="s">
        <v>86</v>
      </c>
      <c r="B69" s="152">
        <f>B70</f>
        <v>928400</v>
      </c>
      <c r="C69" s="152">
        <f>C70</f>
        <v>423599.58</v>
      </c>
      <c r="D69" s="154">
        <f t="shared" si="0"/>
        <v>45.62683972425679</v>
      </c>
      <c r="E69" s="155">
        <f t="shared" si="1"/>
        <v>-504800.42</v>
      </c>
    </row>
    <row r="70" spans="1:5" ht="16.5" customHeight="1">
      <c r="A70" s="156" t="s">
        <v>96</v>
      </c>
      <c r="B70" s="152">
        <v>928400</v>
      </c>
      <c r="C70" s="152">
        <v>423599.58</v>
      </c>
      <c r="D70" s="154">
        <f t="shared" si="0"/>
        <v>45.62683972425679</v>
      </c>
      <c r="E70" s="155">
        <f t="shared" si="1"/>
        <v>-504800.42</v>
      </c>
    </row>
    <row r="71" spans="1:5" ht="14.25" customHeight="1">
      <c r="A71" s="156" t="s">
        <v>121</v>
      </c>
      <c r="B71" s="152">
        <v>687711</v>
      </c>
      <c r="C71" s="153">
        <v>327987.86</v>
      </c>
      <c r="D71" s="154">
        <f t="shared" si="0"/>
        <v>47.69268777146214</v>
      </c>
      <c r="E71" s="155">
        <f t="shared" si="1"/>
        <v>-359723.14</v>
      </c>
    </row>
    <row r="72" spans="1:5" ht="17.25" customHeight="1">
      <c r="A72" s="156" t="s">
        <v>127</v>
      </c>
      <c r="B72" s="152">
        <v>54000</v>
      </c>
      <c r="C72" s="153">
        <v>0</v>
      </c>
      <c r="D72" s="154">
        <f t="shared" si="0"/>
        <v>0</v>
      </c>
      <c r="E72" s="155">
        <f t="shared" si="1"/>
        <v>-54000</v>
      </c>
    </row>
    <row r="73" spans="1:5" ht="18" customHeight="1">
      <c r="A73" s="156" t="s">
        <v>38</v>
      </c>
      <c r="B73" s="152">
        <f>B81+B76+B79+B92+B74</f>
        <v>5775313.82</v>
      </c>
      <c r="C73" s="152">
        <f>C81+C76+C79+C92+C74</f>
        <v>3014550.88</v>
      </c>
      <c r="D73" s="154">
        <f t="shared" si="0"/>
        <v>52.19717878465</v>
      </c>
      <c r="E73" s="155">
        <f t="shared" si="1"/>
        <v>-2760762.9400000004</v>
      </c>
    </row>
    <row r="74" spans="1:5" ht="18" customHeight="1">
      <c r="A74" s="127" t="s">
        <v>241</v>
      </c>
      <c r="B74" s="25">
        <f>SUM(B75)</f>
        <v>271300</v>
      </c>
      <c r="C74" s="25">
        <f>SUM(C75)</f>
        <v>79673.88</v>
      </c>
      <c r="D74" s="154">
        <f t="shared" si="0"/>
        <v>29.367445632141543</v>
      </c>
      <c r="E74" s="155">
        <f t="shared" si="1"/>
        <v>-191626.12</v>
      </c>
    </row>
    <row r="75" spans="1:5" ht="18" customHeight="1">
      <c r="A75" s="127" t="s">
        <v>242</v>
      </c>
      <c r="B75" s="152">
        <v>271300</v>
      </c>
      <c r="C75" s="152">
        <v>79673.88</v>
      </c>
      <c r="D75" s="154">
        <f t="shared" si="0"/>
        <v>29.367445632141543</v>
      </c>
      <c r="E75" s="155">
        <f t="shared" si="1"/>
        <v>-191626.12</v>
      </c>
    </row>
    <row r="76" spans="1:5" ht="18" customHeight="1">
      <c r="A76" s="75" t="s">
        <v>165</v>
      </c>
      <c r="B76" s="25">
        <f>SUM(B78,B77)</f>
        <v>99400</v>
      </c>
      <c r="C76" s="25">
        <f>SUM(C78,C77)</f>
        <v>0</v>
      </c>
      <c r="D76" s="154">
        <f>IF(B76=0,"   ",C76/B76*100)</f>
        <v>0</v>
      </c>
      <c r="E76" s="155">
        <f>C76-B76</f>
        <v>-99400</v>
      </c>
    </row>
    <row r="77" spans="1:5" ht="18" customHeight="1">
      <c r="A77" s="75" t="s">
        <v>169</v>
      </c>
      <c r="B77" s="25">
        <v>60000</v>
      </c>
      <c r="C77" s="25">
        <v>0</v>
      </c>
      <c r="D77" s="154">
        <f>IF(B77=0,"   ",C77/B77*100)</f>
        <v>0</v>
      </c>
      <c r="E77" s="155">
        <f>C77-B77</f>
        <v>-60000</v>
      </c>
    </row>
    <row r="78" spans="1:5" ht="18" customHeight="1">
      <c r="A78" s="75" t="s">
        <v>166</v>
      </c>
      <c r="B78" s="25">
        <v>39400</v>
      </c>
      <c r="C78" s="152">
        <v>0</v>
      </c>
      <c r="D78" s="154">
        <f>IF(B78=0,"   ",C78/B78*100)</f>
        <v>0</v>
      </c>
      <c r="E78" s="155">
        <f>C78-B78</f>
        <v>-39400</v>
      </c>
    </row>
    <row r="79" spans="1:5" ht="18" customHeight="1">
      <c r="A79" s="75" t="s">
        <v>231</v>
      </c>
      <c r="B79" s="25">
        <f>SUM(B80)</f>
        <v>0</v>
      </c>
      <c r="C79" s="25">
        <f>SUM(C80)</f>
        <v>0</v>
      </c>
      <c r="D79" s="154" t="str">
        <f>IF(B79=0,"   ",C79/B79*100)</f>
        <v>   </v>
      </c>
      <c r="E79" s="155">
        <f>C79-B79</f>
        <v>0</v>
      </c>
    </row>
    <row r="80" spans="1:5" ht="18" customHeight="1">
      <c r="A80" s="75" t="s">
        <v>232</v>
      </c>
      <c r="B80" s="25">
        <v>0</v>
      </c>
      <c r="C80" s="152">
        <v>0</v>
      </c>
      <c r="D80" s="154" t="str">
        <f>IF(B80=0,"   ",C80/B80*100)</f>
        <v>   </v>
      </c>
      <c r="E80" s="155">
        <f>C80-B80</f>
        <v>0</v>
      </c>
    </row>
    <row r="81" spans="1:5" ht="18.75" customHeight="1">
      <c r="A81" s="164" t="s">
        <v>131</v>
      </c>
      <c r="B81" s="152">
        <f>SUM(B82:B91)</f>
        <v>5304613.82</v>
      </c>
      <c r="C81" s="152">
        <f>SUM(C82:C91)</f>
        <v>2839877</v>
      </c>
      <c r="D81" s="154">
        <f t="shared" si="0"/>
        <v>53.53598011777604</v>
      </c>
      <c r="E81" s="155">
        <f t="shared" si="1"/>
        <v>-2464736.8200000003</v>
      </c>
    </row>
    <row r="82" spans="1:5" ht="30" customHeight="1">
      <c r="A82" s="75" t="s">
        <v>149</v>
      </c>
      <c r="B82" s="152">
        <v>300000</v>
      </c>
      <c r="C82" s="152">
        <v>131401</v>
      </c>
      <c r="D82" s="154">
        <f t="shared" si="0"/>
        <v>43.800333333333334</v>
      </c>
      <c r="E82" s="155">
        <f t="shared" si="1"/>
        <v>-168599</v>
      </c>
    </row>
    <row r="83" spans="1:5" ht="28.5" customHeight="1">
      <c r="A83" s="71" t="s">
        <v>257</v>
      </c>
      <c r="B83" s="152">
        <v>0</v>
      </c>
      <c r="C83" s="152">
        <v>0</v>
      </c>
      <c r="D83" s="154" t="str">
        <f t="shared" si="0"/>
        <v>   </v>
      </c>
      <c r="E83" s="155">
        <f t="shared" si="1"/>
        <v>0</v>
      </c>
    </row>
    <row r="84" spans="1:5" ht="27" customHeight="1">
      <c r="A84" s="71" t="s">
        <v>258</v>
      </c>
      <c r="B84" s="152">
        <v>848513.82</v>
      </c>
      <c r="C84" s="152">
        <v>499219</v>
      </c>
      <c r="D84" s="154">
        <f t="shared" si="0"/>
        <v>58.83451609544792</v>
      </c>
      <c r="E84" s="155">
        <f t="shared" si="1"/>
        <v>-349294.81999999995</v>
      </c>
    </row>
    <row r="85" spans="1:5" ht="30" customHeight="1">
      <c r="A85" s="71" t="s">
        <v>259</v>
      </c>
      <c r="B85" s="152">
        <v>1221300</v>
      </c>
      <c r="C85" s="152">
        <v>439227</v>
      </c>
      <c r="D85" s="154">
        <f t="shared" si="0"/>
        <v>35.96389093588799</v>
      </c>
      <c r="E85" s="155">
        <f t="shared" si="1"/>
        <v>-782073</v>
      </c>
    </row>
    <row r="86" spans="1:5" ht="35.25" customHeight="1">
      <c r="A86" s="71" t="s">
        <v>260</v>
      </c>
      <c r="B86" s="152">
        <v>135700</v>
      </c>
      <c r="C86" s="152">
        <v>55557</v>
      </c>
      <c r="D86" s="154">
        <f t="shared" si="0"/>
        <v>40.94104642593957</v>
      </c>
      <c r="E86" s="155">
        <f t="shared" si="1"/>
        <v>-80143</v>
      </c>
    </row>
    <row r="87" spans="1:5" ht="35.25" customHeight="1">
      <c r="A87" s="71" t="s">
        <v>261</v>
      </c>
      <c r="B87" s="152">
        <v>874200</v>
      </c>
      <c r="C87" s="152">
        <v>497330</v>
      </c>
      <c r="D87" s="154">
        <f t="shared" si="0"/>
        <v>56.8897277510867</v>
      </c>
      <c r="E87" s="155">
        <f t="shared" si="1"/>
        <v>-376870</v>
      </c>
    </row>
    <row r="88" spans="1:5" ht="30" customHeight="1">
      <c r="A88" s="71" t="s">
        <v>262</v>
      </c>
      <c r="B88" s="152">
        <v>97200</v>
      </c>
      <c r="C88" s="152">
        <v>55259</v>
      </c>
      <c r="D88" s="154">
        <f t="shared" si="0"/>
        <v>56.85082304526748</v>
      </c>
      <c r="E88" s="155">
        <f t="shared" si="1"/>
        <v>-41941</v>
      </c>
    </row>
    <row r="89" spans="1:5" ht="30" customHeight="1">
      <c r="A89" s="75" t="s">
        <v>268</v>
      </c>
      <c r="B89" s="152">
        <v>130000</v>
      </c>
      <c r="C89" s="152">
        <v>0</v>
      </c>
      <c r="D89" s="154">
        <f t="shared" si="0"/>
        <v>0</v>
      </c>
      <c r="E89" s="155">
        <f t="shared" si="1"/>
        <v>-130000</v>
      </c>
    </row>
    <row r="90" spans="1:5" ht="25.5" customHeight="1">
      <c r="A90" s="163" t="s">
        <v>141</v>
      </c>
      <c r="B90" s="84">
        <v>1612800</v>
      </c>
      <c r="C90" s="152">
        <v>1103789.8</v>
      </c>
      <c r="D90" s="154">
        <f t="shared" si="0"/>
        <v>68.43934771825397</v>
      </c>
      <c r="E90" s="155">
        <f t="shared" si="1"/>
        <v>-509010.19999999995</v>
      </c>
    </row>
    <row r="91" spans="1:5" ht="32.25" customHeight="1">
      <c r="A91" s="105" t="s">
        <v>246</v>
      </c>
      <c r="B91" s="152">
        <v>84900</v>
      </c>
      <c r="C91" s="152">
        <v>58094.2</v>
      </c>
      <c r="D91" s="154">
        <f t="shared" si="0"/>
        <v>68.4266195524146</v>
      </c>
      <c r="E91" s="155">
        <f t="shared" si="1"/>
        <v>-26805.800000000003</v>
      </c>
    </row>
    <row r="92" spans="1:5" ht="13.5">
      <c r="A92" s="96" t="s">
        <v>177</v>
      </c>
      <c r="B92" s="188">
        <f>B93</f>
        <v>100000</v>
      </c>
      <c r="C92" s="188">
        <f>C93</f>
        <v>95000</v>
      </c>
      <c r="D92" s="186">
        <f>IF(B92=0,"   ",C92/B92)</f>
        <v>0.95</v>
      </c>
      <c r="E92" s="187">
        <f>C92-B92</f>
        <v>-5000</v>
      </c>
    </row>
    <row r="93" spans="1:5" ht="26.25">
      <c r="A93" s="105" t="s">
        <v>155</v>
      </c>
      <c r="B93" s="188">
        <v>100000</v>
      </c>
      <c r="C93" s="188">
        <v>95000</v>
      </c>
      <c r="D93" s="186">
        <f>IF(B93=0,"   ",C93/B93)</f>
        <v>0.95</v>
      </c>
      <c r="E93" s="187">
        <f>C93-B93</f>
        <v>-5000</v>
      </c>
    </row>
    <row r="94" spans="1:5" ht="26.25">
      <c r="A94" s="75" t="s">
        <v>178</v>
      </c>
      <c r="B94" s="188">
        <v>0</v>
      </c>
      <c r="C94" s="188">
        <v>0</v>
      </c>
      <c r="D94" s="186" t="str">
        <f>IF(B94=0,"   ",C94/B94)</f>
        <v>   </v>
      </c>
      <c r="E94" s="187">
        <f>C94-B94</f>
        <v>0</v>
      </c>
    </row>
    <row r="95" spans="1:5" ht="18" customHeight="1">
      <c r="A95" s="156" t="s">
        <v>13</v>
      </c>
      <c r="B95" s="152">
        <f>SUM(B96,B99,B108)</f>
        <v>61497897.760000005</v>
      </c>
      <c r="C95" s="152">
        <f>SUM(C96,C99,C108)</f>
        <v>4723582.22</v>
      </c>
      <c r="D95" s="154">
        <f t="shared" si="0"/>
        <v>7.680884049783492</v>
      </c>
      <c r="E95" s="155">
        <f t="shared" si="1"/>
        <v>-56774315.54000001</v>
      </c>
    </row>
    <row r="96" spans="1:5" ht="18.75" customHeight="1">
      <c r="A96" s="86" t="s">
        <v>14</v>
      </c>
      <c r="B96" s="87">
        <f>SUM(B97:B98)</f>
        <v>412790.5</v>
      </c>
      <c r="C96" s="87">
        <f>SUM(C97:C98)</f>
        <v>124620.88</v>
      </c>
      <c r="D96" s="154">
        <f t="shared" si="0"/>
        <v>30.18986144303224</v>
      </c>
      <c r="E96" s="155">
        <f t="shared" si="1"/>
        <v>-288169.62</v>
      </c>
    </row>
    <row r="97" spans="1:5" ht="12.75">
      <c r="A97" s="156" t="s">
        <v>101</v>
      </c>
      <c r="B97" s="152">
        <v>300000</v>
      </c>
      <c r="C97" s="153">
        <v>81830.38</v>
      </c>
      <c r="D97" s="154">
        <f t="shared" si="0"/>
        <v>27.276793333333334</v>
      </c>
      <c r="E97" s="155">
        <f t="shared" si="1"/>
        <v>-218169.62</v>
      </c>
    </row>
    <row r="98" spans="1:5" ht="12.75">
      <c r="A98" s="156" t="s">
        <v>183</v>
      </c>
      <c r="B98" s="152">
        <v>112790.5</v>
      </c>
      <c r="C98" s="153">
        <v>42790.5</v>
      </c>
      <c r="D98" s="154">
        <f t="shared" si="0"/>
        <v>37.93803556150562</v>
      </c>
      <c r="E98" s="155">
        <f t="shared" si="1"/>
        <v>-70000</v>
      </c>
    </row>
    <row r="99" spans="1:5" ht="18" customHeight="1">
      <c r="A99" s="86" t="s">
        <v>64</v>
      </c>
      <c r="B99" s="87">
        <f>SUM(B100:B102,B106,B107)</f>
        <v>1589560</v>
      </c>
      <c r="C99" s="87">
        <f>SUM(C100:C102,C106,C107)</f>
        <v>330272.95</v>
      </c>
      <c r="D99" s="154">
        <f t="shared" si="0"/>
        <v>20.777633433151312</v>
      </c>
      <c r="E99" s="155">
        <f t="shared" si="1"/>
        <v>-1259287.05</v>
      </c>
    </row>
    <row r="100" spans="1:5" ht="12.75">
      <c r="A100" s="156" t="s">
        <v>142</v>
      </c>
      <c r="B100" s="152">
        <v>100000</v>
      </c>
      <c r="C100" s="152">
        <v>9247.95</v>
      </c>
      <c r="D100" s="154">
        <f t="shared" si="0"/>
        <v>9.247950000000001</v>
      </c>
      <c r="E100" s="155">
        <f t="shared" si="1"/>
        <v>-90752.05</v>
      </c>
    </row>
    <row r="101" spans="1:5" ht="12.75">
      <c r="A101" s="16" t="s">
        <v>158</v>
      </c>
      <c r="B101" s="152">
        <v>190400</v>
      </c>
      <c r="C101" s="152">
        <v>120025</v>
      </c>
      <c r="D101" s="154">
        <f t="shared" si="0"/>
        <v>63.03834033613446</v>
      </c>
      <c r="E101" s="155">
        <f t="shared" si="1"/>
        <v>-70375</v>
      </c>
    </row>
    <row r="102" spans="1:5" ht="26.25">
      <c r="A102" s="105" t="s">
        <v>206</v>
      </c>
      <c r="B102" s="199">
        <f>SUM(B103:B105)</f>
        <v>0</v>
      </c>
      <c r="C102" s="199">
        <f>SUM(C103:C105)</f>
        <v>0</v>
      </c>
      <c r="D102" s="154" t="str">
        <f>IF(B102=0,"   ",C102/B102*100)</f>
        <v>   </v>
      </c>
      <c r="E102" s="155">
        <f>C102-B102</f>
        <v>0</v>
      </c>
    </row>
    <row r="103" spans="1:5" ht="26.25">
      <c r="A103" s="105" t="s">
        <v>187</v>
      </c>
      <c r="B103" s="152">
        <v>0</v>
      </c>
      <c r="C103" s="152">
        <v>0</v>
      </c>
      <c r="D103" s="154" t="str">
        <f>IF(B103=0,"   ",C103/B103*100)</f>
        <v>   </v>
      </c>
      <c r="E103" s="155">
        <f>C103-B103</f>
        <v>0</v>
      </c>
    </row>
    <row r="104" spans="1:5" ht="26.25">
      <c r="A104" s="105" t="s">
        <v>200</v>
      </c>
      <c r="B104" s="152">
        <v>0</v>
      </c>
      <c r="C104" s="152">
        <v>0</v>
      </c>
      <c r="D104" s="154" t="str">
        <f t="shared" si="0"/>
        <v>   </v>
      </c>
      <c r="E104" s="155">
        <f t="shared" si="1"/>
        <v>0</v>
      </c>
    </row>
    <row r="105" spans="1:5" ht="26.25">
      <c r="A105" s="105" t="s">
        <v>212</v>
      </c>
      <c r="B105" s="152">
        <v>0</v>
      </c>
      <c r="C105" s="152">
        <v>0</v>
      </c>
      <c r="D105" s="154" t="str">
        <f t="shared" si="0"/>
        <v>   </v>
      </c>
      <c r="E105" s="155">
        <f t="shared" si="1"/>
        <v>0</v>
      </c>
    </row>
    <row r="106" spans="1:5" ht="12.75">
      <c r="A106" s="16" t="s">
        <v>301</v>
      </c>
      <c r="B106" s="152">
        <v>999160</v>
      </c>
      <c r="C106" s="152">
        <v>0</v>
      </c>
      <c r="D106" s="154">
        <f t="shared" si="0"/>
        <v>0</v>
      </c>
      <c r="E106" s="155">
        <f t="shared" si="1"/>
        <v>-999160</v>
      </c>
    </row>
    <row r="107" spans="1:5" ht="12.75">
      <c r="A107" s="156" t="s">
        <v>135</v>
      </c>
      <c r="B107" s="152">
        <v>300000</v>
      </c>
      <c r="C107" s="152">
        <v>201000</v>
      </c>
      <c r="D107" s="154">
        <f t="shared" si="0"/>
        <v>67</v>
      </c>
      <c r="E107" s="155">
        <f t="shared" si="1"/>
        <v>-99000</v>
      </c>
    </row>
    <row r="108" spans="1:5" ht="16.5" customHeight="1">
      <c r="A108" s="86" t="s">
        <v>63</v>
      </c>
      <c r="B108" s="87">
        <f>B109+B111+B112+B113+B114+B116+B120+B124+B125+B110+B115</f>
        <v>59495547.260000005</v>
      </c>
      <c r="C108" s="87">
        <f>C109+C111+C112+C113+C114+C116+C120+C124+C125+C110+C115</f>
        <v>4268688.39</v>
      </c>
      <c r="D108" s="154">
        <f t="shared" si="0"/>
        <v>7.174803135006913</v>
      </c>
      <c r="E108" s="155">
        <f t="shared" si="1"/>
        <v>-55226858.870000005</v>
      </c>
    </row>
    <row r="109" spans="1:5" ht="12.75">
      <c r="A109" s="156" t="s">
        <v>65</v>
      </c>
      <c r="B109" s="152">
        <v>4090000</v>
      </c>
      <c r="C109" s="153">
        <v>2364479.94</v>
      </c>
      <c r="D109" s="154">
        <f t="shared" si="0"/>
        <v>57.81124547677261</v>
      </c>
      <c r="E109" s="155">
        <f t="shared" si="1"/>
        <v>-1725520.06</v>
      </c>
    </row>
    <row r="110" spans="1:5" ht="26.25">
      <c r="A110" s="16" t="s">
        <v>218</v>
      </c>
      <c r="B110" s="152">
        <v>6000</v>
      </c>
      <c r="C110" s="153">
        <v>0</v>
      </c>
      <c r="D110" s="154">
        <f t="shared" si="0"/>
        <v>0</v>
      </c>
      <c r="E110" s="155">
        <f t="shared" si="1"/>
        <v>-6000</v>
      </c>
    </row>
    <row r="111" spans="1:5" ht="12.75">
      <c r="A111" s="156" t="s">
        <v>66</v>
      </c>
      <c r="B111" s="152">
        <v>263000</v>
      </c>
      <c r="C111" s="153">
        <v>137000</v>
      </c>
      <c r="D111" s="154">
        <f aca="true" t="shared" si="2" ref="D111:D144">IF(B111=0,"   ",C111/B111*100)</f>
        <v>52.09125475285171</v>
      </c>
      <c r="E111" s="155">
        <f t="shared" si="1"/>
        <v>-126000</v>
      </c>
    </row>
    <row r="112" spans="1:5" ht="12.75">
      <c r="A112" s="156" t="s">
        <v>67</v>
      </c>
      <c r="B112" s="152">
        <v>100000</v>
      </c>
      <c r="C112" s="153">
        <v>29028</v>
      </c>
      <c r="D112" s="154">
        <f t="shared" si="2"/>
        <v>29.028</v>
      </c>
      <c r="E112" s="155">
        <f t="shared" si="1"/>
        <v>-70972</v>
      </c>
    </row>
    <row r="113" spans="1:5" ht="12.75">
      <c r="A113" s="156" t="s">
        <v>68</v>
      </c>
      <c r="B113" s="152">
        <v>1520921.11</v>
      </c>
      <c r="C113" s="153">
        <v>1089980.45</v>
      </c>
      <c r="D113" s="154">
        <f t="shared" si="2"/>
        <v>71.6658111215249</v>
      </c>
      <c r="E113" s="155">
        <f t="shared" si="1"/>
        <v>-430940.66000000015</v>
      </c>
    </row>
    <row r="114" spans="1:5" ht="33" customHeight="1">
      <c r="A114" s="105" t="s">
        <v>302</v>
      </c>
      <c r="B114" s="152">
        <v>1700000</v>
      </c>
      <c r="C114" s="153">
        <v>0</v>
      </c>
      <c r="D114" s="154">
        <f t="shared" si="2"/>
        <v>0</v>
      </c>
      <c r="E114" s="155">
        <f t="shared" si="1"/>
        <v>-1700000</v>
      </c>
    </row>
    <row r="115" spans="1:5" ht="18" customHeight="1">
      <c r="A115" s="105" t="s">
        <v>303</v>
      </c>
      <c r="B115" s="152">
        <v>280000</v>
      </c>
      <c r="C115" s="153">
        <v>0</v>
      </c>
      <c r="D115" s="154">
        <f t="shared" si="2"/>
        <v>0</v>
      </c>
      <c r="E115" s="155">
        <f t="shared" si="1"/>
        <v>-280000</v>
      </c>
    </row>
    <row r="116" spans="1:5" ht="18" customHeight="1">
      <c r="A116" s="163" t="s">
        <v>182</v>
      </c>
      <c r="B116" s="188">
        <f>B117+B119+B118</f>
        <v>6213445.91</v>
      </c>
      <c r="C116" s="188">
        <f>C117+C119+C118</f>
        <v>0</v>
      </c>
      <c r="D116" s="186">
        <f aca="true" t="shared" si="3" ref="D116:D128">IF(B116=0,"   ",C116/B116)</f>
        <v>0</v>
      </c>
      <c r="E116" s="187">
        <f aca="true" t="shared" si="4" ref="E116:E128">C116-B116</f>
        <v>-6213445.91</v>
      </c>
    </row>
    <row r="117" spans="1:5" ht="13.5">
      <c r="A117" s="163" t="s">
        <v>180</v>
      </c>
      <c r="B117" s="188">
        <v>6151311.44</v>
      </c>
      <c r="C117" s="188">
        <v>0</v>
      </c>
      <c r="D117" s="186">
        <f t="shared" si="3"/>
        <v>0</v>
      </c>
      <c r="E117" s="187">
        <f t="shared" si="4"/>
        <v>-6151311.44</v>
      </c>
    </row>
    <row r="118" spans="1:5" ht="13.5">
      <c r="A118" s="163" t="s">
        <v>181</v>
      </c>
      <c r="B118" s="188">
        <v>43494.12</v>
      </c>
      <c r="C118" s="188">
        <v>0</v>
      </c>
      <c r="D118" s="186">
        <f t="shared" si="3"/>
        <v>0</v>
      </c>
      <c r="E118" s="187">
        <f t="shared" si="4"/>
        <v>-43494.12</v>
      </c>
    </row>
    <row r="119" spans="1:5" ht="13.5">
      <c r="A119" s="105" t="s">
        <v>192</v>
      </c>
      <c r="B119" s="188">
        <v>18640.35</v>
      </c>
      <c r="C119" s="188">
        <v>0</v>
      </c>
      <c r="D119" s="186">
        <f t="shared" si="3"/>
        <v>0</v>
      </c>
      <c r="E119" s="187">
        <f t="shared" si="4"/>
        <v>-18640.35</v>
      </c>
    </row>
    <row r="120" spans="1:5" ht="26.25">
      <c r="A120" s="105" t="s">
        <v>206</v>
      </c>
      <c r="B120" s="188">
        <f>SUM(B121:B123)</f>
        <v>2032498.8</v>
      </c>
      <c r="C120" s="188">
        <f>SUM(C121:C123)</f>
        <v>0</v>
      </c>
      <c r="D120" s="154">
        <f>IF(B120=0,"   ",C120/B120*100)</f>
        <v>0</v>
      </c>
      <c r="E120" s="155">
        <f t="shared" si="4"/>
        <v>-2032498.8</v>
      </c>
    </row>
    <row r="121" spans="1:5" ht="26.25">
      <c r="A121" s="105" t="s">
        <v>187</v>
      </c>
      <c r="B121" s="188">
        <v>1445500</v>
      </c>
      <c r="C121" s="188">
        <v>0</v>
      </c>
      <c r="D121" s="154">
        <f>IF(B121=0,"   ",C121/B121*100)</f>
        <v>0</v>
      </c>
      <c r="E121" s="155">
        <f t="shared" si="4"/>
        <v>-1445500</v>
      </c>
    </row>
    <row r="122" spans="1:5" ht="26.25">
      <c r="A122" s="105" t="s">
        <v>200</v>
      </c>
      <c r="B122" s="188">
        <v>440249.1</v>
      </c>
      <c r="C122" s="188">
        <v>0</v>
      </c>
      <c r="D122" s="154">
        <f>IF(B122=0,"   ",C122/B122*100)</f>
        <v>0</v>
      </c>
      <c r="E122" s="155">
        <f t="shared" si="4"/>
        <v>-440249.1</v>
      </c>
    </row>
    <row r="123" spans="1:5" ht="26.25">
      <c r="A123" s="105" t="s">
        <v>212</v>
      </c>
      <c r="B123" s="188">
        <v>146749.7</v>
      </c>
      <c r="C123" s="188">
        <v>0</v>
      </c>
      <c r="D123" s="154">
        <f>IF(B123=0,"   ",C123/B123*100)</f>
        <v>0</v>
      </c>
      <c r="E123" s="155">
        <f t="shared" si="4"/>
        <v>-146749.7</v>
      </c>
    </row>
    <row r="124" spans="1:5" ht="13.5">
      <c r="A124" s="105" t="s">
        <v>250</v>
      </c>
      <c r="B124" s="188">
        <v>1600000</v>
      </c>
      <c r="C124" s="188">
        <v>648200</v>
      </c>
      <c r="D124" s="186">
        <f t="shared" si="3"/>
        <v>0.405125</v>
      </c>
      <c r="E124" s="187">
        <f t="shared" si="4"/>
        <v>-951800</v>
      </c>
    </row>
    <row r="125" spans="1:5" ht="17.25" customHeight="1">
      <c r="A125" s="105" t="s">
        <v>289</v>
      </c>
      <c r="B125" s="188">
        <f>SUM(B126:B128)</f>
        <v>41689681.440000005</v>
      </c>
      <c r="C125" s="188">
        <f>SUM(C126:C128)</f>
        <v>0</v>
      </c>
      <c r="D125" s="154">
        <f>IF(B125=0,"   ",C125/B125*100)</f>
        <v>0</v>
      </c>
      <c r="E125" s="155">
        <f>C125-B125</f>
        <v>-41689681.440000005</v>
      </c>
    </row>
    <row r="126" spans="1:5" ht="24" customHeight="1">
      <c r="A126" s="105" t="s">
        <v>273</v>
      </c>
      <c r="B126" s="153">
        <v>39181634.7</v>
      </c>
      <c r="C126" s="188">
        <v>0</v>
      </c>
      <c r="D126" s="154">
        <f>IF(B126=0,"   ",C126/B126*100)</f>
        <v>0</v>
      </c>
      <c r="E126" s="155">
        <f>C126-B126</f>
        <v>-39181634.7</v>
      </c>
    </row>
    <row r="127" spans="1:5" ht="24" customHeight="1">
      <c r="A127" s="105" t="s">
        <v>290</v>
      </c>
      <c r="B127" s="153">
        <v>2090039.29</v>
      </c>
      <c r="C127" s="188">
        <v>0</v>
      </c>
      <c r="D127" s="154">
        <f>IF(B127=0,"   ",C127/B127*100)</f>
        <v>0</v>
      </c>
      <c r="E127" s="155">
        <f>C127-B127</f>
        <v>-2090039.29</v>
      </c>
    </row>
    <row r="128" spans="1:5" ht="29.25" customHeight="1">
      <c r="A128" s="105" t="s">
        <v>291</v>
      </c>
      <c r="B128" s="153">
        <v>418007.45</v>
      </c>
      <c r="C128" s="188">
        <v>0</v>
      </c>
      <c r="D128" s="186">
        <f t="shared" si="3"/>
        <v>0</v>
      </c>
      <c r="E128" s="187">
        <f t="shared" si="4"/>
        <v>-418007.45</v>
      </c>
    </row>
    <row r="129" spans="1:5" ht="15" customHeight="1">
      <c r="A129" s="165" t="s">
        <v>17</v>
      </c>
      <c r="B129" s="166">
        <v>0</v>
      </c>
      <c r="C129" s="166">
        <v>0</v>
      </c>
      <c r="D129" s="167" t="str">
        <f t="shared" si="2"/>
        <v>   </v>
      </c>
      <c r="E129" s="168">
        <f t="shared" si="1"/>
        <v>0</v>
      </c>
    </row>
    <row r="130" spans="1:5" ht="18.75" customHeight="1">
      <c r="A130" s="169" t="s">
        <v>41</v>
      </c>
      <c r="B130" s="170">
        <f>B131</f>
        <v>13527476.78</v>
      </c>
      <c r="C130" s="170">
        <f>C131</f>
        <v>1915941.5</v>
      </c>
      <c r="D130" s="167">
        <f t="shared" si="2"/>
        <v>14.163332387549662</v>
      </c>
      <c r="E130" s="168">
        <f t="shared" si="1"/>
        <v>-11611535.28</v>
      </c>
    </row>
    <row r="131" spans="1:5" ht="15.75" customHeight="1">
      <c r="A131" s="169" t="s">
        <v>42</v>
      </c>
      <c r="B131" s="87">
        <f>B132+B133+B134+B136+B135</f>
        <v>13527476.78</v>
      </c>
      <c r="C131" s="87">
        <f>C132+C133+C134+C136+C135</f>
        <v>1915941.5</v>
      </c>
      <c r="D131" s="167">
        <f t="shared" si="2"/>
        <v>14.163332387549662</v>
      </c>
      <c r="E131" s="168">
        <f t="shared" si="1"/>
        <v>-11611535.28</v>
      </c>
    </row>
    <row r="132" spans="1:5" ht="19.5" customHeight="1">
      <c r="A132" s="169" t="s">
        <v>143</v>
      </c>
      <c r="B132" s="166">
        <v>3916900</v>
      </c>
      <c r="C132" s="171">
        <v>641134.06</v>
      </c>
      <c r="D132" s="167">
        <f t="shared" si="2"/>
        <v>16.368405116290948</v>
      </c>
      <c r="E132" s="168">
        <f t="shared" si="1"/>
        <v>-3275765.94</v>
      </c>
    </row>
    <row r="133" spans="1:5" ht="16.5" customHeight="1">
      <c r="A133" s="16" t="s">
        <v>193</v>
      </c>
      <c r="B133" s="166">
        <v>1238800</v>
      </c>
      <c r="C133" s="171">
        <v>0</v>
      </c>
      <c r="D133" s="167">
        <f t="shared" si="2"/>
        <v>0</v>
      </c>
      <c r="E133" s="168">
        <f t="shared" si="1"/>
        <v>-1238800</v>
      </c>
    </row>
    <row r="134" spans="1:5" ht="18" customHeight="1">
      <c r="A134" s="169" t="s">
        <v>144</v>
      </c>
      <c r="B134" s="166">
        <v>1349988.39</v>
      </c>
      <c r="C134" s="171">
        <v>781807.44</v>
      </c>
      <c r="D134" s="167">
        <f t="shared" si="2"/>
        <v>57.91216026680052</v>
      </c>
      <c r="E134" s="168">
        <f t="shared" si="1"/>
        <v>-568180.95</v>
      </c>
    </row>
    <row r="135" spans="1:5" ht="18" customHeight="1">
      <c r="A135" s="16" t="s">
        <v>294</v>
      </c>
      <c r="B135" s="166">
        <v>938800</v>
      </c>
      <c r="C135" s="171">
        <v>493000</v>
      </c>
      <c r="D135" s="167">
        <f t="shared" si="2"/>
        <v>52.51384746484874</v>
      </c>
      <c r="E135" s="168">
        <f t="shared" si="1"/>
        <v>-445800</v>
      </c>
    </row>
    <row r="136" spans="1:5" ht="18" customHeight="1">
      <c r="A136" s="16" t="s">
        <v>267</v>
      </c>
      <c r="B136" s="166">
        <f>SUM(B137:B139)</f>
        <v>6082988.39</v>
      </c>
      <c r="C136" s="166">
        <f>SUM(C137:C139)</f>
        <v>0</v>
      </c>
      <c r="D136" s="167">
        <f t="shared" si="2"/>
        <v>0</v>
      </c>
      <c r="E136" s="168">
        <f t="shared" si="1"/>
        <v>-6082988.39</v>
      </c>
    </row>
    <row r="137" spans="1:5" ht="18" customHeight="1">
      <c r="A137" s="163" t="s">
        <v>180</v>
      </c>
      <c r="B137" s="166">
        <v>4340232.21</v>
      </c>
      <c r="C137" s="171">
        <v>0</v>
      </c>
      <c r="D137" s="167">
        <f>IF(B137=0,"   ",C137/B137*100)</f>
        <v>0</v>
      </c>
      <c r="E137" s="168">
        <f>C137-B137</f>
        <v>-4340232.21</v>
      </c>
    </row>
    <row r="138" spans="1:5" ht="18" customHeight="1">
      <c r="A138" s="163" t="s">
        <v>181</v>
      </c>
      <c r="B138" s="166">
        <v>1659767.79</v>
      </c>
      <c r="C138" s="171">
        <v>0</v>
      </c>
      <c r="D138" s="167">
        <f>IF(B138=0,"   ",C138/B138*100)</f>
        <v>0</v>
      </c>
      <c r="E138" s="168">
        <f>C138-B138</f>
        <v>-1659767.79</v>
      </c>
    </row>
    <row r="139" spans="1:5" ht="18" customHeight="1">
      <c r="A139" s="105" t="s">
        <v>192</v>
      </c>
      <c r="B139" s="166">
        <v>82988.39</v>
      </c>
      <c r="C139" s="171">
        <v>0</v>
      </c>
      <c r="D139" s="167">
        <f t="shared" si="2"/>
        <v>0</v>
      </c>
      <c r="E139" s="168">
        <f t="shared" si="1"/>
        <v>-82988.39</v>
      </c>
    </row>
    <row r="140" spans="1:5" ht="12.75">
      <c r="A140" s="169" t="s">
        <v>124</v>
      </c>
      <c r="B140" s="166">
        <f>SUM(B141,)</f>
        <v>105000</v>
      </c>
      <c r="C140" s="166">
        <f>SUM(C141,)</f>
        <v>35580</v>
      </c>
      <c r="D140" s="167">
        <f t="shared" si="2"/>
        <v>33.885714285714286</v>
      </c>
      <c r="E140" s="168">
        <f t="shared" si="1"/>
        <v>-69420</v>
      </c>
    </row>
    <row r="141" spans="1:5" ht="14.25" customHeight="1">
      <c r="A141" s="169" t="s">
        <v>43</v>
      </c>
      <c r="B141" s="166">
        <v>105000</v>
      </c>
      <c r="C141" s="172">
        <v>35580</v>
      </c>
      <c r="D141" s="167">
        <f t="shared" si="2"/>
        <v>33.885714285714286</v>
      </c>
      <c r="E141" s="168">
        <f t="shared" si="1"/>
        <v>-69420</v>
      </c>
    </row>
    <row r="142" spans="1:5" ht="19.5" customHeight="1">
      <c r="A142" s="169" t="s">
        <v>145</v>
      </c>
      <c r="B142" s="199">
        <f>SUM(B143:B143)</f>
        <v>0</v>
      </c>
      <c r="C142" s="199">
        <f>SUM(C143:C143)</f>
        <v>0</v>
      </c>
      <c r="D142" s="154" t="str">
        <f t="shared" si="2"/>
        <v>   </v>
      </c>
      <c r="E142" s="155">
        <f t="shared" si="1"/>
        <v>0</v>
      </c>
    </row>
    <row r="143" spans="1:5" ht="19.5" customHeight="1">
      <c r="A143" s="156" t="s">
        <v>146</v>
      </c>
      <c r="B143" s="199">
        <v>0</v>
      </c>
      <c r="C143" s="153">
        <v>0</v>
      </c>
      <c r="D143" s="154" t="str">
        <f t="shared" si="2"/>
        <v>   </v>
      </c>
      <c r="E143" s="155">
        <f t="shared" si="1"/>
        <v>0</v>
      </c>
    </row>
    <row r="144" spans="1:5" ht="20.25" customHeight="1">
      <c r="A144" s="157" t="s">
        <v>15</v>
      </c>
      <c r="B144" s="150">
        <f>B56+B66+B68+B73+B95+B129+B130+B140+B142</f>
        <v>85548288.36000001</v>
      </c>
      <c r="C144" s="150">
        <f>C56+C66+C68+C73+C95+C129+C130+C140+C142</f>
        <v>12215199.02</v>
      </c>
      <c r="D144" s="141">
        <f t="shared" si="2"/>
        <v>14.278718200177906</v>
      </c>
      <c r="E144" s="142">
        <f t="shared" si="1"/>
        <v>-73333089.34000002</v>
      </c>
    </row>
    <row r="145" spans="1:5" s="59" customFormat="1" ht="23.25" customHeight="1">
      <c r="A145" s="80" t="s">
        <v>304</v>
      </c>
      <c r="B145" s="80"/>
      <c r="C145" s="307"/>
      <c r="D145" s="307"/>
      <c r="E145" s="307"/>
    </row>
    <row r="146" spans="1:5" s="59" customFormat="1" ht="12" customHeight="1">
      <c r="A146" s="80" t="s">
        <v>154</v>
      </c>
      <c r="B146" s="80"/>
      <c r="C146" s="81" t="s">
        <v>247</v>
      </c>
      <c r="D146" s="82"/>
      <c r="E146" s="83"/>
    </row>
    <row r="147" spans="1:5" ht="12.75">
      <c r="A147" s="7"/>
      <c r="B147" s="7"/>
      <c r="C147" s="6"/>
      <c r="D147" s="7"/>
      <c r="E147" s="2"/>
    </row>
    <row r="148" spans="1:5" ht="12.75">
      <c r="A148" s="7"/>
      <c r="B148" s="7"/>
      <c r="C148" s="6"/>
      <c r="D148" s="7"/>
      <c r="E148" s="2"/>
    </row>
    <row r="149" spans="1:5" ht="12.75">
      <c r="A149" s="7"/>
      <c r="B149" s="7"/>
      <c r="C149" s="6"/>
      <c r="D149" s="7"/>
      <c r="E149" s="2"/>
    </row>
    <row r="150" spans="1:5" ht="12.75">
      <c r="A150" s="7"/>
      <c r="B150" s="7"/>
      <c r="C150" s="6"/>
      <c r="D150" s="7"/>
      <c r="E150" s="2"/>
    </row>
  </sheetData>
  <sheetProtection/>
  <mergeCells count="2">
    <mergeCell ref="A1:E1"/>
    <mergeCell ref="C145:E14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0"/>
  <sheetViews>
    <sheetView zoomScalePageLayoutView="0" workbookViewId="0" topLeftCell="A28">
      <selection activeCell="C36" sqref="C3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09" t="s">
        <v>316</v>
      </c>
      <c r="B1" s="309"/>
      <c r="C1" s="309"/>
      <c r="D1" s="309"/>
      <c r="E1" s="30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310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9">
        <f>SUM(B8)</f>
        <v>29200</v>
      </c>
      <c r="C7" s="149">
        <f>SUM(C8)</f>
        <v>18576.52</v>
      </c>
      <c r="D7" s="26">
        <f aca="true" t="shared" si="0" ref="D7:D95">IF(B7=0,"   ",C7/B7*100)</f>
        <v>63.61821917808219</v>
      </c>
      <c r="E7" s="42">
        <f aca="true" t="shared" si="1" ref="E7:E96">C7-B7</f>
        <v>-10623.48</v>
      </c>
    </row>
    <row r="8" spans="1:5" ht="12.75">
      <c r="A8" s="16" t="s">
        <v>44</v>
      </c>
      <c r="B8" s="84">
        <v>29200</v>
      </c>
      <c r="C8" s="243">
        <v>18576.52</v>
      </c>
      <c r="D8" s="26">
        <f t="shared" si="0"/>
        <v>63.61821917808219</v>
      </c>
      <c r="E8" s="42">
        <f t="shared" si="1"/>
        <v>-10623.48</v>
      </c>
    </row>
    <row r="9" spans="1:5" ht="15" customHeight="1">
      <c r="A9" s="64" t="s">
        <v>137</v>
      </c>
      <c r="B9" s="200">
        <f>SUM(B10)</f>
        <v>645500</v>
      </c>
      <c r="C9" s="200">
        <f>SUM(C10)</f>
        <v>393373.93</v>
      </c>
      <c r="D9" s="26">
        <f t="shared" si="0"/>
        <v>60.94096514329976</v>
      </c>
      <c r="E9" s="42">
        <f t="shared" si="1"/>
        <v>-252126.07</v>
      </c>
    </row>
    <row r="10" spans="1:5" ht="12.75">
      <c r="A10" s="41" t="s">
        <v>138</v>
      </c>
      <c r="B10" s="201">
        <v>645500</v>
      </c>
      <c r="C10" s="243">
        <v>393373.93</v>
      </c>
      <c r="D10" s="26">
        <f t="shared" si="0"/>
        <v>60.94096514329976</v>
      </c>
      <c r="E10" s="42">
        <f t="shared" si="1"/>
        <v>-252126.07</v>
      </c>
    </row>
    <row r="11" spans="1:5" ht="18.7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201">
        <f>SUM(B14:B15)</f>
        <v>280000</v>
      </c>
      <c r="C13" s="201">
        <f>SUM(C14:C15)</f>
        <v>19707.51</v>
      </c>
      <c r="D13" s="26">
        <f t="shared" si="0"/>
        <v>7.038396428571428</v>
      </c>
      <c r="E13" s="42">
        <f t="shared" si="1"/>
        <v>-260292.49</v>
      </c>
    </row>
    <row r="14" spans="1:5" ht="12.75">
      <c r="A14" s="16" t="s">
        <v>27</v>
      </c>
      <c r="B14" s="201">
        <v>82000</v>
      </c>
      <c r="C14" s="243">
        <v>2344.28</v>
      </c>
      <c r="D14" s="26">
        <f t="shared" si="0"/>
        <v>2.858878048780488</v>
      </c>
      <c r="E14" s="42">
        <f t="shared" si="1"/>
        <v>-79655.72</v>
      </c>
    </row>
    <row r="15" spans="1:5" ht="12.75">
      <c r="A15" s="41" t="s">
        <v>160</v>
      </c>
      <c r="B15" s="201">
        <f>SUM(B16:B17)</f>
        <v>198000</v>
      </c>
      <c r="C15" s="201">
        <f>SUM(C16:C17)</f>
        <v>17363.23</v>
      </c>
      <c r="D15" s="26">
        <f t="shared" si="0"/>
        <v>8.76930808080808</v>
      </c>
      <c r="E15" s="42">
        <f t="shared" si="1"/>
        <v>-180636.77</v>
      </c>
    </row>
    <row r="16" spans="1:5" ht="12.75">
      <c r="A16" s="41" t="s">
        <v>161</v>
      </c>
      <c r="B16" s="201">
        <v>6000</v>
      </c>
      <c r="C16" s="243">
        <v>6854.01</v>
      </c>
      <c r="D16" s="26">
        <f t="shared" si="0"/>
        <v>114.2335</v>
      </c>
      <c r="E16" s="42">
        <f t="shared" si="1"/>
        <v>854.0100000000002</v>
      </c>
    </row>
    <row r="17" spans="1:5" ht="12.75">
      <c r="A17" s="41" t="s">
        <v>162</v>
      </c>
      <c r="B17" s="201">
        <v>192000</v>
      </c>
      <c r="C17" s="243">
        <v>10509.22</v>
      </c>
      <c r="D17" s="26">
        <f t="shared" si="0"/>
        <v>5.473552083333333</v>
      </c>
      <c r="E17" s="42">
        <f t="shared" si="1"/>
        <v>-181490.78</v>
      </c>
    </row>
    <row r="18" spans="1:5" ht="18.75" customHeight="1">
      <c r="A18" s="41" t="s">
        <v>196</v>
      </c>
      <c r="B18" s="201">
        <v>800</v>
      </c>
      <c r="C18" s="243">
        <v>1000</v>
      </c>
      <c r="D18" s="26">
        <f t="shared" si="0"/>
        <v>125</v>
      </c>
      <c r="E18" s="42">
        <f t="shared" si="1"/>
        <v>200</v>
      </c>
    </row>
    <row r="19" spans="1:5" ht="19.5" customHeight="1">
      <c r="A19" s="16" t="s">
        <v>89</v>
      </c>
      <c r="B19" s="201">
        <v>0</v>
      </c>
      <c r="C19" s="243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201">
        <f>SUM(B21:B23)</f>
        <v>130600</v>
      </c>
      <c r="C20" s="201">
        <f>SUM(C21:C23)</f>
        <v>29590.14</v>
      </c>
      <c r="D20" s="26">
        <f t="shared" si="0"/>
        <v>22.657075038284837</v>
      </c>
      <c r="E20" s="42">
        <f t="shared" si="1"/>
        <v>-101009.86</v>
      </c>
    </row>
    <row r="21" spans="1:5" ht="21.75" customHeight="1">
      <c r="A21" s="41" t="s">
        <v>152</v>
      </c>
      <c r="B21" s="201">
        <v>127000</v>
      </c>
      <c r="C21" s="202">
        <v>25519.54</v>
      </c>
      <c r="D21" s="26">
        <f t="shared" si="0"/>
        <v>20.09412598425197</v>
      </c>
      <c r="E21" s="42">
        <f t="shared" si="1"/>
        <v>-101480.45999999999</v>
      </c>
    </row>
    <row r="22" spans="1:5" ht="21" customHeight="1">
      <c r="A22" s="16" t="s">
        <v>30</v>
      </c>
      <c r="B22" s="201">
        <v>0</v>
      </c>
      <c r="C22" s="202">
        <v>480</v>
      </c>
      <c r="D22" s="26" t="str">
        <f t="shared" si="0"/>
        <v>   </v>
      </c>
      <c r="E22" s="42">
        <f t="shared" si="1"/>
        <v>480</v>
      </c>
    </row>
    <row r="23" spans="1:5" ht="21" customHeight="1">
      <c r="A23" s="16" t="s">
        <v>272</v>
      </c>
      <c r="B23" s="201">
        <v>3600</v>
      </c>
      <c r="C23" s="202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200">
        <f>B26</f>
        <v>0</v>
      </c>
      <c r="C25" s="200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201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201">
        <f>B28+B29</f>
        <v>0</v>
      </c>
      <c r="C27" s="201">
        <f>SUM(C28:C29)</f>
        <v>-2000</v>
      </c>
      <c r="D27" s="26" t="str">
        <f t="shared" si="0"/>
        <v>   </v>
      </c>
      <c r="E27" s="42">
        <f t="shared" si="1"/>
        <v>-2000</v>
      </c>
    </row>
    <row r="28" spans="1:5" ht="12.75">
      <c r="A28" s="16" t="s">
        <v>46</v>
      </c>
      <c r="B28" s="201">
        <v>0</v>
      </c>
      <c r="C28" s="201">
        <v>-2000</v>
      </c>
      <c r="D28" s="26" t="str">
        <f t="shared" si="0"/>
        <v>   </v>
      </c>
      <c r="E28" s="42"/>
    </row>
    <row r="29" spans="1:5" ht="12.75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201">
        <v>0</v>
      </c>
      <c r="C30" s="201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3" t="s">
        <v>10</v>
      </c>
      <c r="B31" s="150">
        <f>SUM(B7,B9,B11,B13,B20,B24,B25,B27,B30,B19,B18)</f>
        <v>1086100</v>
      </c>
      <c r="C31" s="150">
        <f>SUM(C7,C9,C11,C13,C20,C24,C25,C27,C30,C19,C18)</f>
        <v>460248.10000000003</v>
      </c>
      <c r="D31" s="141">
        <f t="shared" si="0"/>
        <v>42.3762176595157</v>
      </c>
      <c r="E31" s="142">
        <f t="shared" si="1"/>
        <v>-625851.8999999999</v>
      </c>
    </row>
    <row r="32" spans="1:5" ht="13.5" customHeight="1">
      <c r="A32" s="181" t="s">
        <v>140</v>
      </c>
      <c r="B32" s="189">
        <f>SUM(B33:B36,B39:B42,B46)</f>
        <v>4828430</v>
      </c>
      <c r="C32" s="189">
        <f>SUM(C33:C36,C39:C42,C46)</f>
        <v>2043455</v>
      </c>
      <c r="D32" s="141">
        <f t="shared" si="0"/>
        <v>42.3213135532668</v>
      </c>
      <c r="E32" s="142">
        <f t="shared" si="1"/>
        <v>-2784975</v>
      </c>
    </row>
    <row r="33" spans="1:5" ht="19.5" customHeight="1">
      <c r="A33" s="17" t="s">
        <v>34</v>
      </c>
      <c r="B33" s="160">
        <v>1767700</v>
      </c>
      <c r="C33" s="243">
        <v>1177245</v>
      </c>
      <c r="D33" s="26">
        <f t="shared" si="0"/>
        <v>66.59755614640494</v>
      </c>
      <c r="E33" s="42">
        <f t="shared" si="1"/>
        <v>-590455</v>
      </c>
    </row>
    <row r="34" spans="1:5" ht="19.5" customHeight="1">
      <c r="A34" s="17" t="s">
        <v>229</v>
      </c>
      <c r="B34" s="160">
        <v>0</v>
      </c>
      <c r="C34" s="243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4" t="s">
        <v>51</v>
      </c>
      <c r="B35" s="135">
        <v>90400</v>
      </c>
      <c r="C35" s="243">
        <v>60000</v>
      </c>
      <c r="D35" s="136">
        <f t="shared" si="0"/>
        <v>66.3716814159292</v>
      </c>
      <c r="E35" s="137">
        <f t="shared" si="1"/>
        <v>-30400</v>
      </c>
    </row>
    <row r="36" spans="1:5" ht="24.75" customHeight="1">
      <c r="A36" s="109" t="s">
        <v>148</v>
      </c>
      <c r="B36" s="135">
        <f>SUM(B37:B38)</f>
        <v>23100</v>
      </c>
      <c r="C36" s="135">
        <f>SUM(C37:C38)</f>
        <v>100</v>
      </c>
      <c r="D36" s="136">
        <f t="shared" si="0"/>
        <v>0.4329004329004329</v>
      </c>
      <c r="E36" s="137">
        <f t="shared" si="1"/>
        <v>-23000</v>
      </c>
    </row>
    <row r="37" spans="1:5" ht="16.5" customHeight="1">
      <c r="A37" s="109" t="s">
        <v>163</v>
      </c>
      <c r="B37" s="135">
        <v>100</v>
      </c>
      <c r="C37" s="138">
        <v>100</v>
      </c>
      <c r="D37" s="136">
        <f t="shared" si="0"/>
        <v>100</v>
      </c>
      <c r="E37" s="137">
        <f t="shared" si="1"/>
        <v>0</v>
      </c>
    </row>
    <row r="38" spans="1:5" ht="25.5" customHeight="1">
      <c r="A38" s="109" t="s">
        <v>164</v>
      </c>
      <c r="B38" s="135">
        <v>23000</v>
      </c>
      <c r="C38" s="138">
        <v>0</v>
      </c>
      <c r="D38" s="136">
        <f t="shared" si="0"/>
        <v>0</v>
      </c>
      <c r="E38" s="137">
        <f t="shared" si="1"/>
        <v>-23000</v>
      </c>
    </row>
    <row r="39" spans="1:5" ht="40.5" customHeight="1">
      <c r="A39" s="143" t="s">
        <v>132</v>
      </c>
      <c r="B39" s="135">
        <v>0</v>
      </c>
      <c r="C39" s="135">
        <v>0</v>
      </c>
      <c r="D39" s="136" t="str">
        <f t="shared" si="0"/>
        <v>   </v>
      </c>
      <c r="E39" s="137">
        <f t="shared" si="1"/>
        <v>0</v>
      </c>
    </row>
    <row r="40" spans="1:5" ht="27.75" customHeight="1">
      <c r="A40" s="143" t="s">
        <v>298</v>
      </c>
      <c r="B40" s="135">
        <v>400000</v>
      </c>
      <c r="C40" s="135">
        <v>0</v>
      </c>
      <c r="D40" s="136">
        <f t="shared" si="0"/>
        <v>0</v>
      </c>
      <c r="E40" s="137">
        <f t="shared" si="1"/>
        <v>-400000</v>
      </c>
    </row>
    <row r="41" spans="1:5" ht="61.5" customHeight="1">
      <c r="A41" s="16" t="s">
        <v>238</v>
      </c>
      <c r="B41" s="135">
        <v>536200</v>
      </c>
      <c r="C41" s="135">
        <v>536200</v>
      </c>
      <c r="D41" s="136">
        <f t="shared" si="0"/>
        <v>100</v>
      </c>
      <c r="E41" s="137">
        <f t="shared" si="1"/>
        <v>0</v>
      </c>
    </row>
    <row r="42" spans="1:5" ht="15.75" customHeight="1">
      <c r="A42" s="16" t="s">
        <v>55</v>
      </c>
      <c r="B42" s="166">
        <f>B45+B43+B44</f>
        <v>2011030</v>
      </c>
      <c r="C42" s="166">
        <f>C45+C43</f>
        <v>269910</v>
      </c>
      <c r="D42" s="26">
        <f t="shared" si="0"/>
        <v>13.4214805348503</v>
      </c>
      <c r="E42" s="42">
        <f t="shared" si="1"/>
        <v>-1741120</v>
      </c>
    </row>
    <row r="43" spans="1:5" ht="15" customHeight="1">
      <c r="A43" s="46" t="s">
        <v>188</v>
      </c>
      <c r="B43" s="166">
        <v>0</v>
      </c>
      <c r="C43" s="166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296</v>
      </c>
      <c r="B44" s="166">
        <v>1611630</v>
      </c>
      <c r="C44" s="166">
        <v>0</v>
      </c>
      <c r="D44" s="26">
        <f>IF(B44=0,"   ",C44/B44*100)</f>
        <v>0</v>
      </c>
      <c r="E44" s="42">
        <f>C44-B44</f>
        <v>-1611630</v>
      </c>
    </row>
    <row r="45" spans="1:5" s="7" customFormat="1" ht="16.5" customHeight="1">
      <c r="A45" s="16" t="s">
        <v>109</v>
      </c>
      <c r="B45" s="166">
        <v>399400</v>
      </c>
      <c r="C45" s="166">
        <v>269910</v>
      </c>
      <c r="D45" s="47">
        <f t="shared" si="0"/>
        <v>67.57886830245367</v>
      </c>
      <c r="E45" s="40">
        <f t="shared" si="1"/>
        <v>-129490</v>
      </c>
    </row>
    <row r="46" spans="1:5" s="7" customFormat="1" ht="23.25" customHeight="1">
      <c r="A46" s="16" t="s">
        <v>199</v>
      </c>
      <c r="B46" s="166">
        <v>0</v>
      </c>
      <c r="C46" s="166">
        <v>0</v>
      </c>
      <c r="D46" s="47" t="str">
        <f>IF(B46=0,"   ",C46/B46*100)</f>
        <v>   </v>
      </c>
      <c r="E46" s="40">
        <f>C46-B46</f>
        <v>0</v>
      </c>
    </row>
    <row r="47" spans="1:5" ht="30.75" customHeight="1">
      <c r="A47" s="173" t="s">
        <v>11</v>
      </c>
      <c r="B47" s="150">
        <f>SUM(B31,B32,)</f>
        <v>5914530</v>
      </c>
      <c r="C47" s="150">
        <f>SUM(C31,C32,)</f>
        <v>2503703.1</v>
      </c>
      <c r="D47" s="141">
        <f t="shared" si="0"/>
        <v>42.331395732205266</v>
      </c>
      <c r="E47" s="142">
        <f t="shared" si="1"/>
        <v>-3410826.9</v>
      </c>
    </row>
    <row r="48" spans="1:5" ht="41.25" customHeight="1">
      <c r="A48" s="22" t="s">
        <v>12</v>
      </c>
      <c r="B48" s="44"/>
      <c r="C48" s="45"/>
      <c r="D48" s="26" t="str">
        <f t="shared" si="0"/>
        <v>   </v>
      </c>
      <c r="E48" s="42">
        <f t="shared" si="1"/>
        <v>0</v>
      </c>
    </row>
    <row r="49" spans="1:5" ht="21" customHeight="1">
      <c r="A49" s="16" t="s">
        <v>35</v>
      </c>
      <c r="B49" s="25">
        <f>SUM(B50,B53,B54)</f>
        <v>1187600</v>
      </c>
      <c r="C49" s="25">
        <f>SUM(C50,C53,C54)</f>
        <v>776347.59</v>
      </c>
      <c r="D49" s="26">
        <f t="shared" si="0"/>
        <v>65.37113422027619</v>
      </c>
      <c r="E49" s="42">
        <f t="shared" si="1"/>
        <v>-411252.41000000003</v>
      </c>
    </row>
    <row r="50" spans="1:5" ht="14.25" customHeight="1">
      <c r="A50" s="16" t="s">
        <v>36</v>
      </c>
      <c r="B50" s="25">
        <v>1172100</v>
      </c>
      <c r="C50" s="25">
        <v>776347.59</v>
      </c>
      <c r="D50" s="26">
        <f t="shared" si="0"/>
        <v>66.23561044279498</v>
      </c>
      <c r="E50" s="42">
        <f t="shared" si="1"/>
        <v>-395752.41000000003</v>
      </c>
    </row>
    <row r="51" spans="1:5" ht="12.75">
      <c r="A51" s="85" t="s">
        <v>121</v>
      </c>
      <c r="B51" s="25">
        <v>761367</v>
      </c>
      <c r="C51" s="28">
        <v>531714.3</v>
      </c>
      <c r="D51" s="26">
        <f t="shared" si="0"/>
        <v>69.83679355685236</v>
      </c>
      <c r="E51" s="42">
        <f t="shared" si="1"/>
        <v>-229652.69999999995</v>
      </c>
    </row>
    <row r="52" spans="1:5" ht="12.75">
      <c r="A52" s="85" t="s">
        <v>288</v>
      </c>
      <c r="B52" s="25">
        <v>100</v>
      </c>
      <c r="C52" s="28">
        <v>0</v>
      </c>
      <c r="D52" s="26">
        <f>IF(B52=0,"   ",C52/B52*100)</f>
        <v>0</v>
      </c>
      <c r="E52" s="42">
        <f>C52-B52</f>
        <v>-100</v>
      </c>
    </row>
    <row r="53" spans="1:5" ht="12.75">
      <c r="A53" s="16" t="s">
        <v>95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5">
        <f>B55</f>
        <v>15000</v>
      </c>
      <c r="C54" s="25">
        <f>C55</f>
        <v>0</v>
      </c>
      <c r="D54" s="26">
        <f t="shared" si="0"/>
        <v>0</v>
      </c>
      <c r="E54" s="42">
        <f t="shared" si="1"/>
        <v>-15000</v>
      </c>
    </row>
    <row r="55" spans="1:5" ht="26.25">
      <c r="A55" s="105" t="s">
        <v>244</v>
      </c>
      <c r="B55" s="25">
        <v>15000</v>
      </c>
      <c r="C55" s="27">
        <v>0</v>
      </c>
      <c r="D55" s="26">
        <f t="shared" si="0"/>
        <v>0</v>
      </c>
      <c r="E55" s="42">
        <f t="shared" si="1"/>
        <v>-15000</v>
      </c>
    </row>
    <row r="56" spans="1:5" ht="19.5" customHeight="1">
      <c r="A56" s="16" t="s">
        <v>49</v>
      </c>
      <c r="B56" s="27">
        <f>SUM(B57)</f>
        <v>90400</v>
      </c>
      <c r="C56" s="27">
        <f>SUM(C57)</f>
        <v>57276.42</v>
      </c>
      <c r="D56" s="26">
        <f t="shared" si="0"/>
        <v>63.35887168141593</v>
      </c>
      <c r="E56" s="42">
        <f t="shared" si="1"/>
        <v>-33123.58</v>
      </c>
    </row>
    <row r="57" spans="1:5" ht="15.75" customHeight="1">
      <c r="A57" s="16" t="s">
        <v>107</v>
      </c>
      <c r="B57" s="25">
        <v>90400</v>
      </c>
      <c r="C57" s="27">
        <v>57276.42</v>
      </c>
      <c r="D57" s="26">
        <f t="shared" si="0"/>
        <v>63.35887168141593</v>
      </c>
      <c r="E57" s="42">
        <f t="shared" si="1"/>
        <v>-33123.58</v>
      </c>
    </row>
    <row r="58" spans="1:5" ht="21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SUM(B66+B61+B64+B74)</f>
        <v>1886299.25</v>
      </c>
      <c r="C60" s="25">
        <f>SUM(C66+C61+C64+C74)</f>
        <v>1279410</v>
      </c>
      <c r="D60" s="26">
        <f t="shared" si="0"/>
        <v>67.8264596669908</v>
      </c>
      <c r="E60" s="42">
        <f t="shared" si="1"/>
        <v>-606889.25</v>
      </c>
    </row>
    <row r="61" spans="1:5" ht="15" customHeight="1">
      <c r="A61" s="75" t="s">
        <v>165</v>
      </c>
      <c r="B61" s="25">
        <f>SUM(B62+B63)</f>
        <v>23000</v>
      </c>
      <c r="C61" s="25">
        <f>SUM(C62+C63)</f>
        <v>0</v>
      </c>
      <c r="D61" s="26">
        <f>IF(B61=0,"   ",C61/B61*100)</f>
        <v>0</v>
      </c>
      <c r="E61" s="42">
        <f>C61-B61</f>
        <v>-23000</v>
      </c>
    </row>
    <row r="62" spans="1:5" ht="15.75" customHeight="1">
      <c r="A62" s="75" t="s">
        <v>166</v>
      </c>
      <c r="B62" s="25">
        <v>23000</v>
      </c>
      <c r="C62" s="25">
        <v>0</v>
      </c>
      <c r="D62" s="26">
        <f>IF(B62=0,"   ",C62/B62*100)</f>
        <v>0</v>
      </c>
      <c r="E62" s="42">
        <f>C62-B62</f>
        <v>-23000</v>
      </c>
    </row>
    <row r="63" spans="1:5" ht="19.5" customHeight="1">
      <c r="A63" s="75" t="s">
        <v>169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9.5" customHeight="1">
      <c r="A64" s="75" t="s">
        <v>231</v>
      </c>
      <c r="B64" s="25">
        <f>SUM(B65)</f>
        <v>100000</v>
      </c>
      <c r="C64" s="25">
        <f>SUM(C65)</f>
        <v>41300</v>
      </c>
      <c r="D64" s="26">
        <f>IF(B64=0,"   ",C64/B64*100)</f>
        <v>41.3</v>
      </c>
      <c r="E64" s="42">
        <f>C64-B64</f>
        <v>-58700</v>
      </c>
    </row>
    <row r="65" spans="1:5" ht="19.5" customHeight="1">
      <c r="A65" s="75" t="s">
        <v>232</v>
      </c>
      <c r="B65" s="25">
        <v>100000</v>
      </c>
      <c r="C65" s="25">
        <v>41300</v>
      </c>
      <c r="D65" s="26">
        <f>IF(B65=0,"   ",C65/B65*100)</f>
        <v>41.3</v>
      </c>
      <c r="E65" s="42">
        <f>C65-B65</f>
        <v>-58700</v>
      </c>
    </row>
    <row r="66" spans="1:5" ht="12.75" customHeight="1">
      <c r="A66" s="96" t="s">
        <v>131</v>
      </c>
      <c r="B66" s="25">
        <f>SUM(B67:B73)</f>
        <v>1681799.25</v>
      </c>
      <c r="C66" s="25">
        <f>SUM(C67:C73)</f>
        <v>1238110</v>
      </c>
      <c r="D66" s="26">
        <f t="shared" si="0"/>
        <v>73.6181800532971</v>
      </c>
      <c r="E66" s="42">
        <f t="shared" si="1"/>
        <v>-443689.25</v>
      </c>
    </row>
    <row r="67" spans="1:5" ht="24.75" customHeight="1">
      <c r="A67" s="75" t="s">
        <v>149</v>
      </c>
      <c r="B67" s="25">
        <v>0</v>
      </c>
      <c r="C67" s="25">
        <v>0</v>
      </c>
      <c r="D67" s="26" t="str">
        <f t="shared" si="0"/>
        <v>   </v>
      </c>
      <c r="E67" s="137">
        <f t="shared" si="1"/>
        <v>0</v>
      </c>
    </row>
    <row r="68" spans="1:5" ht="33.75" customHeight="1">
      <c r="A68" s="71" t="s">
        <v>257</v>
      </c>
      <c r="B68" s="25">
        <v>500499.25</v>
      </c>
      <c r="C68" s="25">
        <v>342410</v>
      </c>
      <c r="D68" s="26">
        <f t="shared" si="0"/>
        <v>68.4136889316018</v>
      </c>
      <c r="E68" s="137">
        <f t="shared" si="1"/>
        <v>-158089.25</v>
      </c>
    </row>
    <row r="69" spans="1:5" ht="26.25" customHeight="1">
      <c r="A69" s="71" t="s">
        <v>258</v>
      </c>
      <c r="B69" s="25">
        <v>141700</v>
      </c>
      <c r="C69" s="25">
        <v>0</v>
      </c>
      <c r="D69" s="26">
        <f t="shared" si="0"/>
        <v>0</v>
      </c>
      <c r="E69" s="42">
        <f t="shared" si="1"/>
        <v>-141700</v>
      </c>
    </row>
    <row r="70" spans="1:5" ht="26.25" customHeight="1">
      <c r="A70" s="71" t="s">
        <v>259</v>
      </c>
      <c r="B70" s="25">
        <v>536200</v>
      </c>
      <c r="C70" s="25">
        <v>536200</v>
      </c>
      <c r="D70" s="26">
        <f t="shared" si="0"/>
        <v>100</v>
      </c>
      <c r="E70" s="42">
        <f t="shared" si="1"/>
        <v>0</v>
      </c>
    </row>
    <row r="71" spans="1:5" ht="26.25" customHeight="1">
      <c r="A71" s="71" t="s">
        <v>260</v>
      </c>
      <c r="B71" s="25">
        <v>59600</v>
      </c>
      <c r="C71" s="25">
        <v>59600</v>
      </c>
      <c r="D71" s="26">
        <f>IF(B71=0,"   ",C71/B71*100)</f>
        <v>100</v>
      </c>
      <c r="E71" s="42">
        <f>C71-B71</f>
        <v>0</v>
      </c>
    </row>
    <row r="72" spans="1:5" ht="26.25" customHeight="1">
      <c r="A72" s="71" t="s">
        <v>261</v>
      </c>
      <c r="B72" s="25">
        <v>399400</v>
      </c>
      <c r="C72" s="25">
        <v>269910</v>
      </c>
      <c r="D72" s="26">
        <f>IF(B72=0,"   ",C72/B72*100)</f>
        <v>67.57886830245367</v>
      </c>
      <c r="E72" s="42">
        <f>C72-B72</f>
        <v>-129490</v>
      </c>
    </row>
    <row r="73" spans="1:5" ht="23.25" customHeight="1">
      <c r="A73" s="71" t="s">
        <v>262</v>
      </c>
      <c r="B73" s="25">
        <v>44400</v>
      </c>
      <c r="C73" s="25">
        <v>29990</v>
      </c>
      <c r="D73" s="26">
        <f t="shared" si="0"/>
        <v>67.54504504504504</v>
      </c>
      <c r="E73" s="42">
        <f t="shared" si="1"/>
        <v>-14410</v>
      </c>
    </row>
    <row r="74" spans="1:5" ht="18.75" customHeight="1">
      <c r="A74" s="96" t="s">
        <v>177</v>
      </c>
      <c r="B74" s="25">
        <f>SUM(B75)</f>
        <v>81500</v>
      </c>
      <c r="C74" s="25">
        <f>SUM(C75)</f>
        <v>0</v>
      </c>
      <c r="D74" s="26">
        <f>IF(B74=0,"   ",C74/B74*100)</f>
        <v>0</v>
      </c>
      <c r="E74" s="42">
        <f>C74-B74</f>
        <v>-81500</v>
      </c>
    </row>
    <row r="75" spans="1:5" ht="23.25" customHeight="1">
      <c r="A75" s="75" t="s">
        <v>178</v>
      </c>
      <c r="B75" s="25">
        <v>81500</v>
      </c>
      <c r="C75" s="25">
        <v>0</v>
      </c>
      <c r="D75" s="26">
        <f>IF(B75=0,"   ",C75/B75*100)</f>
        <v>0</v>
      </c>
      <c r="E75" s="42">
        <f>C75-B75</f>
        <v>-81500</v>
      </c>
    </row>
    <row r="76" spans="1:5" ht="18.75" customHeight="1">
      <c r="A76" s="16" t="s">
        <v>13</v>
      </c>
      <c r="B76" s="25">
        <f>SUM(B82+B77+B79)</f>
        <v>2191630</v>
      </c>
      <c r="C76" s="25">
        <f>SUM(C82+C77+C79)</f>
        <v>91403.03</v>
      </c>
      <c r="D76" s="26">
        <f t="shared" si="0"/>
        <v>4.1705502297376835</v>
      </c>
      <c r="E76" s="42">
        <f t="shared" si="1"/>
        <v>-2100226.97</v>
      </c>
    </row>
    <row r="77" spans="1:5" ht="12.75" customHeight="1">
      <c r="A77" s="86" t="s">
        <v>14</v>
      </c>
      <c r="B77" s="25">
        <f>B78</f>
        <v>0</v>
      </c>
      <c r="C77" s="25">
        <f>C78</f>
        <v>0</v>
      </c>
      <c r="D77" s="26" t="str">
        <f>IF(B77=0,"   ",C77/B77*100)</f>
        <v>   </v>
      </c>
      <c r="E77" s="42">
        <f>C77-B77</f>
        <v>0</v>
      </c>
    </row>
    <row r="78" spans="1:5" ht="12.75" customHeight="1">
      <c r="A78" s="156" t="s">
        <v>171</v>
      </c>
      <c r="B78" s="25">
        <v>0</v>
      </c>
      <c r="C78" s="25">
        <v>0</v>
      </c>
      <c r="D78" s="26" t="str">
        <f>IF(B78=0,"   ",C78/B78*100)</f>
        <v>   </v>
      </c>
      <c r="E78" s="42">
        <f>C78-B78</f>
        <v>0</v>
      </c>
    </row>
    <row r="79" spans="1:5" ht="13.5" customHeight="1">
      <c r="A79" s="86" t="s">
        <v>64</v>
      </c>
      <c r="B79" s="25">
        <f>B80+B81</f>
        <v>1661630</v>
      </c>
      <c r="C79" s="25">
        <f>C80+C81</f>
        <v>50000</v>
      </c>
      <c r="D79" s="26">
        <f>IF(B79=0,"   ",C79/B79*100)</f>
        <v>3.0090934804980654</v>
      </c>
      <c r="E79" s="42">
        <f>C79-B79</f>
        <v>-1611630</v>
      </c>
    </row>
    <row r="80" spans="1:5" ht="14.25" customHeight="1">
      <c r="A80" s="156" t="s">
        <v>142</v>
      </c>
      <c r="B80" s="25">
        <v>50000</v>
      </c>
      <c r="C80" s="25">
        <v>50000</v>
      </c>
      <c r="D80" s="26">
        <f>IF(B80=0,"   ",C80/B80*100)</f>
        <v>100</v>
      </c>
      <c r="E80" s="42">
        <f>C80-B80</f>
        <v>0</v>
      </c>
    </row>
    <row r="81" spans="1:5" ht="14.25" customHeight="1">
      <c r="A81" s="16" t="s">
        <v>301</v>
      </c>
      <c r="B81" s="25">
        <v>1611630</v>
      </c>
      <c r="C81" s="25">
        <v>0</v>
      </c>
      <c r="D81" s="26">
        <f>IF(B81=0,"   ",C81/B81*100)</f>
        <v>0</v>
      </c>
      <c r="E81" s="42">
        <f>C81-B81</f>
        <v>-1611630</v>
      </c>
    </row>
    <row r="82" spans="1:5" ht="12.75">
      <c r="A82" s="16" t="s">
        <v>58</v>
      </c>
      <c r="B82" s="25">
        <f>B83+B85+B84+B90+B86</f>
        <v>530000</v>
      </c>
      <c r="C82" s="25">
        <f>C83+C85+C84+C90+C86</f>
        <v>41403.03</v>
      </c>
      <c r="D82" s="26">
        <f t="shared" si="0"/>
        <v>7.811892452830188</v>
      </c>
      <c r="E82" s="42">
        <f t="shared" si="1"/>
        <v>-488596.97</v>
      </c>
    </row>
    <row r="83" spans="1:5" ht="12.75">
      <c r="A83" s="16" t="s">
        <v>56</v>
      </c>
      <c r="B83" s="25">
        <v>130000</v>
      </c>
      <c r="C83" s="27">
        <v>41403.03</v>
      </c>
      <c r="D83" s="26">
        <f t="shared" si="0"/>
        <v>31.848484615384614</v>
      </c>
      <c r="E83" s="42">
        <f t="shared" si="1"/>
        <v>-88596.97</v>
      </c>
    </row>
    <row r="84" spans="1:5" ht="26.25">
      <c r="A84" s="105" t="s">
        <v>302</v>
      </c>
      <c r="B84" s="25">
        <v>400000</v>
      </c>
      <c r="C84" s="27">
        <v>0</v>
      </c>
      <c r="D84" s="26">
        <f t="shared" si="0"/>
        <v>0</v>
      </c>
      <c r="E84" s="42">
        <f t="shared" si="1"/>
        <v>-400000</v>
      </c>
    </row>
    <row r="85" spans="1:5" ht="12.75">
      <c r="A85" s="16" t="s">
        <v>59</v>
      </c>
      <c r="B85" s="25">
        <v>0</v>
      </c>
      <c r="C85" s="27">
        <v>0</v>
      </c>
      <c r="D85" s="26" t="str">
        <f t="shared" si="0"/>
        <v>   </v>
      </c>
      <c r="E85" s="42">
        <f t="shared" si="1"/>
        <v>0</v>
      </c>
    </row>
    <row r="86" spans="1:5" ht="13.5" customHeight="1">
      <c r="A86" s="105" t="s">
        <v>206</v>
      </c>
      <c r="B86" s="25">
        <f>SUM(B87:B89)</f>
        <v>0</v>
      </c>
      <c r="C86" s="25">
        <f>SUM(C87:C89)</f>
        <v>0</v>
      </c>
      <c r="D86" s="26" t="str">
        <f>IF(B86=0,"   ",C86/B86*100)</f>
        <v>   </v>
      </c>
      <c r="E86" s="42">
        <f>C86-B86</f>
        <v>0</v>
      </c>
    </row>
    <row r="87" spans="1:5" ht="26.25">
      <c r="A87" s="105" t="s">
        <v>213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6.25">
      <c r="A88" s="105" t="s">
        <v>214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6.25">
      <c r="A89" s="105" t="s">
        <v>215</v>
      </c>
      <c r="B89" s="25">
        <v>0</v>
      </c>
      <c r="C89" s="27">
        <v>0</v>
      </c>
      <c r="D89" s="26" t="str">
        <f t="shared" si="0"/>
        <v>   </v>
      </c>
      <c r="E89" s="42">
        <f t="shared" si="1"/>
        <v>0</v>
      </c>
    </row>
    <row r="90" spans="1:5" ht="12.75">
      <c r="A90" s="156" t="s">
        <v>94</v>
      </c>
      <c r="B90" s="25">
        <v>0</v>
      </c>
      <c r="C90" s="27">
        <v>0</v>
      </c>
      <c r="D90" s="26" t="str">
        <f t="shared" si="0"/>
        <v>   </v>
      </c>
      <c r="E90" s="42">
        <f t="shared" si="1"/>
        <v>0</v>
      </c>
    </row>
    <row r="91" spans="1:5" ht="14.25" customHeight="1">
      <c r="A91" s="18" t="s">
        <v>17</v>
      </c>
      <c r="B91" s="31">
        <v>8000</v>
      </c>
      <c r="C91" s="31">
        <v>8000</v>
      </c>
      <c r="D91" s="26">
        <f t="shared" si="0"/>
        <v>100</v>
      </c>
      <c r="E91" s="42">
        <f t="shared" si="1"/>
        <v>0</v>
      </c>
    </row>
    <row r="92" spans="1:5" ht="13.5" customHeight="1">
      <c r="A92" s="16" t="s">
        <v>41</v>
      </c>
      <c r="B92" s="24">
        <f>B93</f>
        <v>630300</v>
      </c>
      <c r="C92" s="24">
        <f>C93</f>
        <v>357455</v>
      </c>
      <c r="D92" s="26">
        <f t="shared" si="0"/>
        <v>56.71188323020784</v>
      </c>
      <c r="E92" s="42">
        <f t="shared" si="1"/>
        <v>-272845</v>
      </c>
    </row>
    <row r="93" spans="1:5" ht="12.75">
      <c r="A93" s="16" t="s">
        <v>42</v>
      </c>
      <c r="B93" s="25">
        <v>630300</v>
      </c>
      <c r="C93" s="27">
        <v>357455</v>
      </c>
      <c r="D93" s="26">
        <f t="shared" si="0"/>
        <v>56.71188323020784</v>
      </c>
      <c r="E93" s="42">
        <f t="shared" si="1"/>
        <v>-272845</v>
      </c>
    </row>
    <row r="94" spans="1:5" ht="18.75" customHeight="1">
      <c r="A94" s="16" t="s">
        <v>124</v>
      </c>
      <c r="B94" s="25">
        <f>SUM(B95,)</f>
        <v>20000</v>
      </c>
      <c r="C94" s="25">
        <f>SUM(C95,)</f>
        <v>0</v>
      </c>
      <c r="D94" s="26">
        <f t="shared" si="0"/>
        <v>0</v>
      </c>
      <c r="E94" s="42">
        <f t="shared" si="1"/>
        <v>-20000</v>
      </c>
    </row>
    <row r="95" spans="1:5" ht="12.75">
      <c r="A95" s="16" t="s">
        <v>43</v>
      </c>
      <c r="B95" s="25">
        <v>20000</v>
      </c>
      <c r="C95" s="28">
        <v>0</v>
      </c>
      <c r="D95" s="26">
        <f t="shared" si="0"/>
        <v>0</v>
      </c>
      <c r="E95" s="42">
        <f t="shared" si="1"/>
        <v>-20000</v>
      </c>
    </row>
    <row r="96" spans="1:5" ht="22.5" customHeight="1">
      <c r="A96" s="173" t="s">
        <v>15</v>
      </c>
      <c r="B96" s="150">
        <f>B49+B56+B58+B60+B76+B91+B92+B94</f>
        <v>6015229.25</v>
      </c>
      <c r="C96" s="150">
        <f>C49+C56+C58+C60+C76+C91+C92+C94</f>
        <v>2570892.0399999996</v>
      </c>
      <c r="D96" s="141">
        <f>IF(B96=0,"   ",C96/B96*100)</f>
        <v>42.739718357367664</v>
      </c>
      <c r="E96" s="142">
        <f t="shared" si="1"/>
        <v>-3444337.2100000004</v>
      </c>
    </row>
    <row r="97" spans="1:5" s="59" customFormat="1" ht="23.25" customHeight="1">
      <c r="A97" s="80" t="s">
        <v>304</v>
      </c>
      <c r="B97" s="80"/>
      <c r="C97" s="307"/>
      <c r="D97" s="307"/>
      <c r="E97" s="307"/>
    </row>
    <row r="98" spans="1:5" s="59" customFormat="1" ht="12" customHeight="1">
      <c r="A98" s="80" t="s">
        <v>154</v>
      </c>
      <c r="B98" s="80"/>
      <c r="C98" s="81" t="s">
        <v>247</v>
      </c>
      <c r="D98" s="82"/>
      <c r="E98" s="83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</sheetData>
  <sheetProtection/>
  <mergeCells count="2">
    <mergeCell ref="A1:E1"/>
    <mergeCell ref="C97:E97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34">
      <selection activeCell="C38" sqref="C38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09" t="s">
        <v>317</v>
      </c>
      <c r="B1" s="309"/>
      <c r="C1" s="309"/>
      <c r="D1" s="309"/>
      <c r="E1" s="30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251</v>
      </c>
      <c r="C4" s="32" t="s">
        <v>306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9">
        <f>SUM(B8)</f>
        <v>416700</v>
      </c>
      <c r="C7" s="149">
        <f>SUM(C8)</f>
        <v>238579.48</v>
      </c>
      <c r="D7" s="26">
        <f aca="true" t="shared" si="0" ref="D7:D106">IF(B7=0,"   ",C7/B7*100)</f>
        <v>57.254494840412775</v>
      </c>
      <c r="E7" s="42">
        <f aca="true" t="shared" si="1" ref="E7:E107">C7-B7</f>
        <v>-178120.52</v>
      </c>
    </row>
    <row r="8" spans="1:5" ht="12.75">
      <c r="A8" s="16" t="s">
        <v>44</v>
      </c>
      <c r="B8" s="84">
        <v>416700</v>
      </c>
      <c r="C8" s="243">
        <v>238579.48</v>
      </c>
      <c r="D8" s="26">
        <f t="shared" si="0"/>
        <v>57.254494840412775</v>
      </c>
      <c r="E8" s="42">
        <f t="shared" si="1"/>
        <v>-178120.52</v>
      </c>
    </row>
    <row r="9" spans="1:5" ht="18" customHeight="1">
      <c r="A9" s="64" t="s">
        <v>137</v>
      </c>
      <c r="B9" s="200">
        <f>SUM(B10)</f>
        <v>897100</v>
      </c>
      <c r="C9" s="200">
        <f>SUM(C10)</f>
        <v>546696.83</v>
      </c>
      <c r="D9" s="26">
        <f t="shared" si="0"/>
        <v>60.94045591349905</v>
      </c>
      <c r="E9" s="42">
        <f t="shared" si="1"/>
        <v>-350403.17000000004</v>
      </c>
    </row>
    <row r="10" spans="1:5" ht="12.75">
      <c r="A10" s="41" t="s">
        <v>138</v>
      </c>
      <c r="B10" s="201">
        <v>897100</v>
      </c>
      <c r="C10" s="243">
        <v>546696.83</v>
      </c>
      <c r="D10" s="26">
        <f t="shared" si="0"/>
        <v>60.94045591349905</v>
      </c>
      <c r="E10" s="42">
        <f t="shared" si="1"/>
        <v>-350403.17000000004</v>
      </c>
    </row>
    <row r="11" spans="1:5" ht="16.5" customHeight="1">
      <c r="A11" s="16" t="s">
        <v>7</v>
      </c>
      <c r="B11" s="201">
        <f>SUM(B12:B12)</f>
        <v>39900</v>
      </c>
      <c r="C11" s="201">
        <f>C12</f>
        <v>36117.3</v>
      </c>
      <c r="D11" s="26">
        <f t="shared" si="0"/>
        <v>90.51954887218045</v>
      </c>
      <c r="E11" s="42">
        <f t="shared" si="1"/>
        <v>-3782.699999999997</v>
      </c>
    </row>
    <row r="12" spans="1:5" ht="12.75">
      <c r="A12" s="16" t="s">
        <v>26</v>
      </c>
      <c r="B12" s="201">
        <v>39900</v>
      </c>
      <c r="C12" s="243">
        <v>36117.3</v>
      </c>
      <c r="D12" s="26">
        <f t="shared" si="0"/>
        <v>90.51954887218045</v>
      </c>
      <c r="E12" s="42">
        <f t="shared" si="1"/>
        <v>-3782.699999999997</v>
      </c>
    </row>
    <row r="13" spans="1:5" ht="18" customHeight="1">
      <c r="A13" s="16" t="s">
        <v>9</v>
      </c>
      <c r="B13" s="201">
        <f>SUM(B14:B15)</f>
        <v>661500</v>
      </c>
      <c r="C13" s="201">
        <f>SUM(C14:C15)</f>
        <v>173729.02</v>
      </c>
      <c r="D13" s="26">
        <f t="shared" si="0"/>
        <v>26.262890400604682</v>
      </c>
      <c r="E13" s="42">
        <f t="shared" si="1"/>
        <v>-487770.98</v>
      </c>
    </row>
    <row r="14" spans="1:5" ht="12.75">
      <c r="A14" s="16" t="s">
        <v>27</v>
      </c>
      <c r="B14" s="201">
        <v>237500</v>
      </c>
      <c r="C14" s="243">
        <v>44312.92</v>
      </c>
      <c r="D14" s="26">
        <f t="shared" si="0"/>
        <v>18.658071578947368</v>
      </c>
      <c r="E14" s="42">
        <f t="shared" si="1"/>
        <v>-193187.08000000002</v>
      </c>
    </row>
    <row r="15" spans="1:5" ht="12.75">
      <c r="A15" s="41" t="s">
        <v>160</v>
      </c>
      <c r="B15" s="201">
        <f>SUM(B16:B17)</f>
        <v>424000</v>
      </c>
      <c r="C15" s="201">
        <f>SUM(C16:C17)</f>
        <v>129416.09999999999</v>
      </c>
      <c r="D15" s="26">
        <f t="shared" si="0"/>
        <v>30.52266509433962</v>
      </c>
      <c r="E15" s="42">
        <f t="shared" si="1"/>
        <v>-294583.9</v>
      </c>
    </row>
    <row r="16" spans="1:5" ht="12.75">
      <c r="A16" s="41" t="s">
        <v>161</v>
      </c>
      <c r="B16" s="201">
        <v>130000</v>
      </c>
      <c r="C16" s="243">
        <v>75552.18</v>
      </c>
      <c r="D16" s="26">
        <f t="shared" si="0"/>
        <v>58.117061538461535</v>
      </c>
      <c r="E16" s="42">
        <f t="shared" si="1"/>
        <v>-54447.82000000001</v>
      </c>
    </row>
    <row r="17" spans="1:5" ht="12.75">
      <c r="A17" s="41" t="s">
        <v>162</v>
      </c>
      <c r="B17" s="201">
        <v>294000</v>
      </c>
      <c r="C17" s="243">
        <v>53863.92</v>
      </c>
      <c r="D17" s="26">
        <f t="shared" si="0"/>
        <v>18.321061224489796</v>
      </c>
      <c r="E17" s="42">
        <f t="shared" si="1"/>
        <v>-240136.08000000002</v>
      </c>
    </row>
    <row r="18" spans="1:5" ht="12.75">
      <c r="A18" s="41" t="s">
        <v>196</v>
      </c>
      <c r="B18" s="201">
        <v>3600</v>
      </c>
      <c r="C18" s="243">
        <v>5943</v>
      </c>
      <c r="D18" s="26">
        <f t="shared" si="0"/>
        <v>165.08333333333334</v>
      </c>
      <c r="E18" s="42">
        <f t="shared" si="1"/>
        <v>2343</v>
      </c>
    </row>
    <row r="19" spans="1:5" ht="26.25" customHeight="1">
      <c r="A19" s="16" t="s">
        <v>89</v>
      </c>
      <c r="B19" s="201">
        <v>0</v>
      </c>
      <c r="C19" s="202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01">
        <f>SUM(B21:B24)</f>
        <v>75300</v>
      </c>
      <c r="C20" s="201">
        <f>SUM(C21:C24)</f>
        <v>101252.2</v>
      </c>
      <c r="D20" s="26">
        <f t="shared" si="0"/>
        <v>134.46507304116867</v>
      </c>
      <c r="E20" s="42">
        <f t="shared" si="1"/>
        <v>25952.199999999997</v>
      </c>
    </row>
    <row r="21" spans="1:5" ht="12.75">
      <c r="A21" s="16" t="s">
        <v>29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201">
        <v>43300</v>
      </c>
      <c r="C22" s="202">
        <v>68946.4</v>
      </c>
      <c r="D22" s="26">
        <f t="shared" si="0"/>
        <v>159.22956120092377</v>
      </c>
      <c r="E22" s="42">
        <f t="shared" si="1"/>
        <v>25646.399999999994</v>
      </c>
    </row>
    <row r="23" spans="1:5" ht="15.75" customHeight="1">
      <c r="A23" s="16" t="s">
        <v>30</v>
      </c>
      <c r="B23" s="201">
        <v>16000</v>
      </c>
      <c r="C23" s="201">
        <v>16000</v>
      </c>
      <c r="D23" s="26">
        <f t="shared" si="0"/>
        <v>100</v>
      </c>
      <c r="E23" s="42">
        <f t="shared" si="1"/>
        <v>0</v>
      </c>
    </row>
    <row r="24" spans="1:5" ht="42" customHeight="1">
      <c r="A24" s="16" t="s">
        <v>226</v>
      </c>
      <c r="B24" s="201">
        <v>16000</v>
      </c>
      <c r="C24" s="243">
        <v>16305.8</v>
      </c>
      <c r="D24" s="26">
        <f t="shared" si="0"/>
        <v>101.91124999999998</v>
      </c>
      <c r="E24" s="42">
        <f t="shared" si="1"/>
        <v>305.7999999999993</v>
      </c>
    </row>
    <row r="25" spans="1:5" ht="15.75" customHeight="1">
      <c r="A25" s="39" t="s">
        <v>91</v>
      </c>
      <c r="B25" s="201">
        <v>4500</v>
      </c>
      <c r="C25" s="243">
        <v>7743.26</v>
      </c>
      <c r="D25" s="26">
        <f t="shared" si="0"/>
        <v>172.07244444444444</v>
      </c>
      <c r="E25" s="42">
        <f t="shared" si="1"/>
        <v>3243.26</v>
      </c>
    </row>
    <row r="26" spans="1:5" ht="15" customHeight="1">
      <c r="A26" s="16" t="s">
        <v>78</v>
      </c>
      <c r="B26" s="201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134</v>
      </c>
      <c r="B27" s="201">
        <v>0</v>
      </c>
      <c r="C27" s="243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01">
        <v>0</v>
      </c>
      <c r="C28" s="243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01">
        <v>0</v>
      </c>
      <c r="C29" s="201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01">
        <f>B31+B32</f>
        <v>0</v>
      </c>
      <c r="C30" s="200">
        <f>C31+C32</f>
        <v>-14794.24</v>
      </c>
      <c r="D30" s="26" t="str">
        <f t="shared" si="0"/>
        <v>   </v>
      </c>
      <c r="E30" s="42">
        <f t="shared" si="1"/>
        <v>-14794.24</v>
      </c>
    </row>
    <row r="31" spans="1:5" ht="13.5" customHeight="1">
      <c r="A31" s="16" t="s">
        <v>126</v>
      </c>
      <c r="B31" s="201">
        <v>0</v>
      </c>
      <c r="C31" s="202">
        <v>-14794.24</v>
      </c>
      <c r="D31" s="26" t="str">
        <f t="shared" si="0"/>
        <v>   </v>
      </c>
      <c r="E31" s="42">
        <f t="shared" si="1"/>
        <v>-14794.24</v>
      </c>
    </row>
    <row r="32" spans="1:5" ht="13.5" customHeight="1">
      <c r="A32" s="16" t="s">
        <v>129</v>
      </c>
      <c r="B32" s="201">
        <v>0</v>
      </c>
      <c r="C32" s="202">
        <v>0</v>
      </c>
      <c r="D32" s="26"/>
      <c r="E32" s="42">
        <f t="shared" si="1"/>
        <v>0</v>
      </c>
    </row>
    <row r="33" spans="1:5" ht="21" customHeight="1">
      <c r="A33" s="173" t="s">
        <v>10</v>
      </c>
      <c r="B33" s="175">
        <f>SUM(B7,B9,B11,B13,B19,B20,B25,B26,B29,B30,B18)</f>
        <v>2098600</v>
      </c>
      <c r="C33" s="175">
        <f>SUM(C7,C9,C11,C13,C19,C20,C25,C26,C29,C30,C18)</f>
        <v>1095266.85</v>
      </c>
      <c r="D33" s="141">
        <f t="shared" si="0"/>
        <v>52.190357857619375</v>
      </c>
      <c r="E33" s="142">
        <f t="shared" si="1"/>
        <v>-1003333.1499999999</v>
      </c>
    </row>
    <row r="34" spans="1:5" ht="18.75" customHeight="1">
      <c r="A34" s="181" t="s">
        <v>140</v>
      </c>
      <c r="B34" s="189">
        <f>SUM(B35:B38,B42:B43,B47,B48,B49,B41)</f>
        <v>9509658.75</v>
      </c>
      <c r="C34" s="189">
        <f>SUM(C35:C38,C43:C43,C47,C48,C49,C41)</f>
        <v>3266489.08</v>
      </c>
      <c r="D34" s="141">
        <f t="shared" si="0"/>
        <v>34.34917241378404</v>
      </c>
      <c r="E34" s="142">
        <f t="shared" si="1"/>
        <v>-6243169.67</v>
      </c>
    </row>
    <row r="35" spans="1:5" ht="16.5" customHeight="1">
      <c r="A35" s="17" t="s">
        <v>34</v>
      </c>
      <c r="B35" s="160">
        <v>3239600</v>
      </c>
      <c r="C35" s="243">
        <v>2157550</v>
      </c>
      <c r="D35" s="26">
        <f t="shared" si="0"/>
        <v>66.59927151500186</v>
      </c>
      <c r="E35" s="42">
        <f t="shared" si="1"/>
        <v>-1082050</v>
      </c>
    </row>
    <row r="36" spans="1:5" ht="16.5" customHeight="1">
      <c r="A36" s="17" t="s">
        <v>229</v>
      </c>
      <c r="B36" s="160">
        <v>0</v>
      </c>
      <c r="C36" s="243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4" t="s">
        <v>51</v>
      </c>
      <c r="B37" s="135">
        <v>180700</v>
      </c>
      <c r="C37" s="243">
        <v>98330</v>
      </c>
      <c r="D37" s="136">
        <f t="shared" si="0"/>
        <v>54.416159380188155</v>
      </c>
      <c r="E37" s="137">
        <f t="shared" si="1"/>
        <v>-82370</v>
      </c>
    </row>
    <row r="38" spans="1:5" ht="24.75" customHeight="1">
      <c r="A38" s="109" t="s">
        <v>148</v>
      </c>
      <c r="B38" s="135">
        <f>SUM(B39:B40)</f>
        <v>19800</v>
      </c>
      <c r="C38" s="135">
        <f>SUM(C39:C40)</f>
        <v>0</v>
      </c>
      <c r="D38" s="136">
        <f t="shared" si="0"/>
        <v>0</v>
      </c>
      <c r="E38" s="137">
        <f t="shared" si="1"/>
        <v>-19800</v>
      </c>
    </row>
    <row r="39" spans="1:5" ht="12.75" customHeight="1">
      <c r="A39" s="109" t="s">
        <v>163</v>
      </c>
      <c r="B39" s="135">
        <v>100</v>
      </c>
      <c r="C39" s="135">
        <v>0</v>
      </c>
      <c r="D39" s="136">
        <f>IF(B39=0,"   ",C39/B39*100)</f>
        <v>0</v>
      </c>
      <c r="E39" s="137">
        <f>C39-B39</f>
        <v>-100</v>
      </c>
    </row>
    <row r="40" spans="1:5" ht="24.75" customHeight="1">
      <c r="A40" s="109" t="s">
        <v>164</v>
      </c>
      <c r="B40" s="135">
        <v>19700</v>
      </c>
      <c r="C40" s="135">
        <v>0</v>
      </c>
      <c r="D40" s="136">
        <f>IF(B40=0,"   ",C40/B40*100)</f>
        <v>0</v>
      </c>
      <c r="E40" s="137">
        <f>C40-B40</f>
        <v>-19700</v>
      </c>
    </row>
    <row r="41" spans="1:5" ht="54" customHeight="1">
      <c r="A41" s="16" t="s">
        <v>238</v>
      </c>
      <c r="B41" s="135">
        <v>706300</v>
      </c>
      <c r="C41" s="135">
        <v>560836.8</v>
      </c>
      <c r="D41" s="136">
        <f>IF(B41=0,"   ",C41/B41*100)</f>
        <v>79.4048987682288</v>
      </c>
      <c r="E41" s="137">
        <f>C41-B41</f>
        <v>-145463.19999999995</v>
      </c>
    </row>
    <row r="42" spans="1:5" ht="31.5" customHeight="1">
      <c r="A42" s="16" t="s">
        <v>279</v>
      </c>
      <c r="B42" s="135">
        <v>0</v>
      </c>
      <c r="C42" s="135">
        <v>0</v>
      </c>
      <c r="D42" s="136" t="str">
        <f>IF(B42=0,"   ",C42/B42*100)</f>
        <v>   </v>
      </c>
      <c r="E42" s="137">
        <f>C42-B42</f>
        <v>0</v>
      </c>
    </row>
    <row r="43" spans="1:5" ht="18" customHeight="1">
      <c r="A43" s="16" t="s">
        <v>55</v>
      </c>
      <c r="B43" s="166">
        <f>B46+B44+B45</f>
        <v>4229510</v>
      </c>
      <c r="C43" s="166">
        <f>C46+C44</f>
        <v>301946</v>
      </c>
      <c r="D43" s="26">
        <f t="shared" si="0"/>
        <v>7.13903028956073</v>
      </c>
      <c r="E43" s="42">
        <f t="shared" si="1"/>
        <v>-3927564</v>
      </c>
    </row>
    <row r="44" spans="1:5" ht="24.75" customHeight="1">
      <c r="A44" s="46" t="s">
        <v>188</v>
      </c>
      <c r="B44" s="166">
        <v>395200</v>
      </c>
      <c r="C44" s="166">
        <v>0</v>
      </c>
      <c r="D44" s="26">
        <f t="shared" si="0"/>
        <v>0</v>
      </c>
      <c r="E44" s="42">
        <f t="shared" si="1"/>
        <v>-395200</v>
      </c>
    </row>
    <row r="45" spans="1:5" ht="24.75" customHeight="1">
      <c r="A45" s="46" t="s">
        <v>296</v>
      </c>
      <c r="B45" s="166">
        <v>3278210</v>
      </c>
      <c r="C45" s="166">
        <v>0</v>
      </c>
      <c r="D45" s="26">
        <f t="shared" si="0"/>
        <v>0</v>
      </c>
      <c r="E45" s="42">
        <f t="shared" si="1"/>
        <v>-3278210</v>
      </c>
    </row>
    <row r="46" spans="1:5" s="7" customFormat="1" ht="15.75" customHeight="1">
      <c r="A46" s="16" t="s">
        <v>109</v>
      </c>
      <c r="B46" s="166">
        <v>556100</v>
      </c>
      <c r="C46" s="166">
        <v>301946</v>
      </c>
      <c r="D46" s="47">
        <f t="shared" si="0"/>
        <v>54.29706887250495</v>
      </c>
      <c r="E46" s="40">
        <f t="shared" si="1"/>
        <v>-254154</v>
      </c>
    </row>
    <row r="47" spans="1:5" ht="39" customHeight="1">
      <c r="A47" s="16" t="s">
        <v>321</v>
      </c>
      <c r="B47" s="166">
        <v>256961.16</v>
      </c>
      <c r="C47" s="166">
        <v>0</v>
      </c>
      <c r="D47" s="26">
        <f t="shared" si="0"/>
        <v>0</v>
      </c>
      <c r="E47" s="42">
        <f t="shared" si="1"/>
        <v>-256961.16</v>
      </c>
    </row>
    <row r="48" spans="1:5" ht="24" customHeight="1">
      <c r="A48" s="143" t="s">
        <v>298</v>
      </c>
      <c r="B48" s="166">
        <v>700000</v>
      </c>
      <c r="C48" s="166">
        <v>0</v>
      </c>
      <c r="D48" s="26">
        <f t="shared" si="0"/>
        <v>0</v>
      </c>
      <c r="E48" s="42">
        <f t="shared" si="1"/>
        <v>-700000</v>
      </c>
    </row>
    <row r="49" spans="1:5" ht="24.75" customHeight="1">
      <c r="A49" s="16" t="s">
        <v>199</v>
      </c>
      <c r="B49" s="166">
        <v>176787.59</v>
      </c>
      <c r="C49" s="166">
        <v>147826.28</v>
      </c>
      <c r="D49" s="26">
        <f t="shared" si="0"/>
        <v>83.61801866296157</v>
      </c>
      <c r="E49" s="42">
        <f t="shared" si="1"/>
        <v>-28961.309999999998</v>
      </c>
    </row>
    <row r="50" spans="1:5" ht="33" customHeight="1">
      <c r="A50" s="173" t="s">
        <v>11</v>
      </c>
      <c r="B50" s="150">
        <f>SUM(B33,B34,)</f>
        <v>11608258.75</v>
      </c>
      <c r="C50" s="150">
        <f>SUM(C33,C34,)</f>
        <v>4361755.93</v>
      </c>
      <c r="D50" s="141">
        <f t="shared" si="0"/>
        <v>37.57459257186182</v>
      </c>
      <c r="E50" s="142">
        <f t="shared" si="1"/>
        <v>-7246502.82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1213986</v>
      </c>
      <c r="C52" s="25">
        <f>SUM(C53,C56,C57)</f>
        <v>756494.52</v>
      </c>
      <c r="D52" s="26">
        <f t="shared" si="0"/>
        <v>62.31492949671578</v>
      </c>
      <c r="E52" s="42">
        <f t="shared" si="1"/>
        <v>-457491.48</v>
      </c>
    </row>
    <row r="53" spans="1:5" ht="12.75" customHeight="1">
      <c r="A53" s="16" t="s">
        <v>36</v>
      </c>
      <c r="B53" s="25">
        <v>1212800</v>
      </c>
      <c r="C53" s="25">
        <v>756494.52</v>
      </c>
      <c r="D53" s="26">
        <f t="shared" si="0"/>
        <v>62.37586741424802</v>
      </c>
      <c r="E53" s="42">
        <f t="shared" si="1"/>
        <v>-456305.48</v>
      </c>
    </row>
    <row r="54" spans="1:5" ht="12.75">
      <c r="A54" s="85" t="s">
        <v>121</v>
      </c>
      <c r="B54" s="25">
        <v>753840</v>
      </c>
      <c r="C54" s="28">
        <v>505587.08</v>
      </c>
      <c r="D54" s="26">
        <f t="shared" si="0"/>
        <v>67.0682213732357</v>
      </c>
      <c r="E54" s="42">
        <f t="shared" si="1"/>
        <v>-248252.91999999998</v>
      </c>
    </row>
    <row r="55" spans="1:5" ht="12.75">
      <c r="A55" s="85" t="s">
        <v>288</v>
      </c>
      <c r="B55" s="25">
        <v>100</v>
      </c>
      <c r="C55" s="28">
        <v>0</v>
      </c>
      <c r="D55" s="26">
        <f>IF(B55=0,"   ",C55/B55*100)</f>
        <v>0</v>
      </c>
      <c r="E55" s="42">
        <f>C55-B55</f>
        <v>-100</v>
      </c>
    </row>
    <row r="56" spans="1:5" ht="12.75">
      <c r="A56" s="16" t="s">
        <v>95</v>
      </c>
      <c r="B56" s="25">
        <v>500</v>
      </c>
      <c r="C56" s="27">
        <v>0</v>
      </c>
      <c r="D56" s="26">
        <f t="shared" si="0"/>
        <v>0</v>
      </c>
      <c r="E56" s="42">
        <f t="shared" si="1"/>
        <v>-500</v>
      </c>
    </row>
    <row r="57" spans="1:5" ht="12.75">
      <c r="A57" s="16" t="s">
        <v>52</v>
      </c>
      <c r="B57" s="27">
        <f>SUM(B58:B59)</f>
        <v>686</v>
      </c>
      <c r="C57" s="27">
        <f>SUM(C58:C59)</f>
        <v>0</v>
      </c>
      <c r="D57" s="26">
        <f t="shared" si="0"/>
        <v>0</v>
      </c>
      <c r="E57" s="42">
        <f t="shared" si="1"/>
        <v>-686</v>
      </c>
    </row>
    <row r="58" spans="1:5" ht="12.75">
      <c r="A58" s="105" t="s">
        <v>172</v>
      </c>
      <c r="B58" s="27">
        <v>0</v>
      </c>
      <c r="C58" s="27">
        <v>0</v>
      </c>
      <c r="D58" s="26" t="str">
        <f>IF(B58=0,"   ",C58/B58*100)</f>
        <v>   </v>
      </c>
      <c r="E58" s="42">
        <f>C58-B58</f>
        <v>0</v>
      </c>
    </row>
    <row r="59" spans="1:5" ht="39.75" customHeight="1">
      <c r="A59" s="105" t="s">
        <v>244</v>
      </c>
      <c r="B59" s="25">
        <v>686</v>
      </c>
      <c r="C59" s="27">
        <v>0</v>
      </c>
      <c r="D59" s="26">
        <f t="shared" si="0"/>
        <v>0</v>
      </c>
      <c r="E59" s="42">
        <f t="shared" si="1"/>
        <v>-686</v>
      </c>
    </row>
    <row r="60" spans="1:5" ht="22.5" customHeight="1">
      <c r="A60" s="16" t="s">
        <v>49</v>
      </c>
      <c r="B60" s="27">
        <f>SUM(B61)</f>
        <v>180700</v>
      </c>
      <c r="C60" s="27">
        <f>SUM(C61)</f>
        <v>87751</v>
      </c>
      <c r="D60" s="26">
        <f t="shared" si="0"/>
        <v>48.56170448256779</v>
      </c>
      <c r="E60" s="42">
        <f t="shared" si="1"/>
        <v>-92949</v>
      </c>
    </row>
    <row r="61" spans="1:5" ht="12" customHeight="1">
      <c r="A61" s="16" t="s">
        <v>107</v>
      </c>
      <c r="B61" s="25">
        <v>180700</v>
      </c>
      <c r="C61" s="27">
        <v>87751</v>
      </c>
      <c r="D61" s="26">
        <f t="shared" si="0"/>
        <v>48.56170448256779</v>
      </c>
      <c r="E61" s="42">
        <f t="shared" si="1"/>
        <v>-92949</v>
      </c>
    </row>
    <row r="62" spans="1:5" ht="16.5" customHeight="1">
      <c r="A62" s="16" t="s">
        <v>37</v>
      </c>
      <c r="B62" s="25">
        <f>SUM(B63)</f>
        <v>5000</v>
      </c>
      <c r="C62" s="27">
        <f>SUM(C63)</f>
        <v>5000</v>
      </c>
      <c r="D62" s="26">
        <f t="shared" si="0"/>
        <v>100</v>
      </c>
      <c r="E62" s="42">
        <f t="shared" si="1"/>
        <v>0</v>
      </c>
    </row>
    <row r="63" spans="1:5" ht="16.5" customHeight="1">
      <c r="A63" s="41" t="s">
        <v>128</v>
      </c>
      <c r="B63" s="25">
        <v>5000</v>
      </c>
      <c r="C63" s="27">
        <v>5000</v>
      </c>
      <c r="D63" s="26">
        <f t="shared" si="0"/>
        <v>100</v>
      </c>
      <c r="E63" s="42">
        <f t="shared" si="1"/>
        <v>0</v>
      </c>
    </row>
    <row r="64" spans="1:5" ht="21.75" customHeight="1">
      <c r="A64" s="16" t="s">
        <v>38</v>
      </c>
      <c r="B64" s="27">
        <f>B68+B65+B76</f>
        <v>2356372.2199999997</v>
      </c>
      <c r="C64" s="27">
        <f>C68+C65+C76</f>
        <v>1610867.7</v>
      </c>
      <c r="D64" s="26">
        <f t="shared" si="0"/>
        <v>68.36219194605852</v>
      </c>
      <c r="E64" s="42">
        <f t="shared" si="1"/>
        <v>-745504.5199999998</v>
      </c>
    </row>
    <row r="65" spans="1:5" ht="21.75" customHeight="1">
      <c r="A65" s="75" t="s">
        <v>165</v>
      </c>
      <c r="B65" s="25">
        <f>SUM(B66+B67)</f>
        <v>19700</v>
      </c>
      <c r="C65" s="25">
        <f>SUM(C66+C67)</f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166</v>
      </c>
      <c r="B66" s="25">
        <v>19700</v>
      </c>
      <c r="C66" s="126">
        <v>0</v>
      </c>
      <c r="D66" s="26">
        <f>IF(B66=0,"   ",C66/B66*100)</f>
        <v>0</v>
      </c>
      <c r="E66" s="42">
        <f>C66-B66</f>
        <v>-19700</v>
      </c>
    </row>
    <row r="67" spans="1:5" ht="21.75" customHeight="1">
      <c r="A67" s="75" t="s">
        <v>169</v>
      </c>
      <c r="B67" s="118">
        <v>0</v>
      </c>
      <c r="C67" s="126">
        <v>0</v>
      </c>
      <c r="D67" s="26"/>
      <c r="E67" s="42"/>
    </row>
    <row r="68" spans="1:5" ht="12" customHeight="1">
      <c r="A68" s="96" t="s">
        <v>131</v>
      </c>
      <c r="B68" s="118">
        <f>SUM(B69:B75)</f>
        <v>2236672.2199999997</v>
      </c>
      <c r="C68" s="118">
        <f>SUM(C69:C75)</f>
        <v>1610867.7</v>
      </c>
      <c r="D68" s="26">
        <f t="shared" si="0"/>
        <v>72.0207317637271</v>
      </c>
      <c r="E68" s="42">
        <f t="shared" si="1"/>
        <v>-625804.5199999998</v>
      </c>
    </row>
    <row r="69" spans="1:5" ht="27" customHeight="1">
      <c r="A69" s="75" t="s">
        <v>149</v>
      </c>
      <c r="B69" s="25">
        <v>30000</v>
      </c>
      <c r="C69" s="27">
        <v>0</v>
      </c>
      <c r="D69" s="26">
        <f t="shared" si="0"/>
        <v>0</v>
      </c>
      <c r="E69" s="42">
        <f t="shared" si="1"/>
        <v>-30000</v>
      </c>
    </row>
    <row r="70" spans="1:5" ht="30.75" customHeight="1">
      <c r="A70" s="71" t="s">
        <v>257</v>
      </c>
      <c r="B70" s="25">
        <v>753972.22</v>
      </c>
      <c r="C70" s="27">
        <v>619270.33</v>
      </c>
      <c r="D70" s="26">
        <f t="shared" si="0"/>
        <v>82.13436961908225</v>
      </c>
      <c r="E70" s="42">
        <f t="shared" si="1"/>
        <v>-134701.89</v>
      </c>
    </row>
    <row r="71" spans="1:5" ht="29.25" customHeight="1">
      <c r="A71" s="71" t="s">
        <v>258</v>
      </c>
      <c r="B71" s="25">
        <v>50000</v>
      </c>
      <c r="C71" s="27">
        <v>16764.57</v>
      </c>
      <c r="D71" s="26">
        <f t="shared" si="0"/>
        <v>33.52914</v>
      </c>
      <c r="E71" s="42">
        <f t="shared" si="1"/>
        <v>-33235.43</v>
      </c>
    </row>
    <row r="72" spans="1:5" ht="27" customHeight="1">
      <c r="A72" s="71" t="s">
        <v>259</v>
      </c>
      <c r="B72" s="25">
        <v>706300</v>
      </c>
      <c r="C72" s="27">
        <v>560836.8</v>
      </c>
      <c r="D72" s="26">
        <f t="shared" si="0"/>
        <v>79.4048987682288</v>
      </c>
      <c r="E72" s="42">
        <f t="shared" si="1"/>
        <v>-145463.19999999995</v>
      </c>
    </row>
    <row r="73" spans="1:5" ht="27" customHeight="1">
      <c r="A73" s="71" t="s">
        <v>260</v>
      </c>
      <c r="B73" s="114">
        <v>78500</v>
      </c>
      <c r="C73" s="27">
        <v>78500</v>
      </c>
      <c r="D73" s="26">
        <f t="shared" si="0"/>
        <v>100</v>
      </c>
      <c r="E73" s="42">
        <f t="shared" si="1"/>
        <v>0</v>
      </c>
    </row>
    <row r="74" spans="1:5" ht="27" customHeight="1">
      <c r="A74" s="71" t="s">
        <v>261</v>
      </c>
      <c r="B74" s="114">
        <v>556100</v>
      </c>
      <c r="C74" s="27">
        <v>301946</v>
      </c>
      <c r="D74" s="26">
        <f t="shared" si="0"/>
        <v>54.29706887250495</v>
      </c>
      <c r="E74" s="42">
        <f t="shared" si="1"/>
        <v>-254154</v>
      </c>
    </row>
    <row r="75" spans="1:5" ht="27" customHeight="1">
      <c r="A75" s="71" t="s">
        <v>262</v>
      </c>
      <c r="B75" s="114">
        <v>61800</v>
      </c>
      <c r="C75" s="27">
        <v>33550</v>
      </c>
      <c r="D75" s="26">
        <f t="shared" si="0"/>
        <v>54.28802588996764</v>
      </c>
      <c r="E75" s="42">
        <f t="shared" si="1"/>
        <v>-28250</v>
      </c>
    </row>
    <row r="76" spans="1:5" ht="17.25" customHeight="1">
      <c r="A76" s="96" t="s">
        <v>177</v>
      </c>
      <c r="B76" s="114">
        <f>SUM(B77:B78)</f>
        <v>100000</v>
      </c>
      <c r="C76" s="114">
        <f>SUM(C77:C78)</f>
        <v>0</v>
      </c>
      <c r="D76" s="26">
        <f>IF(B76=0,"   ",C76/B76*100)</f>
        <v>0</v>
      </c>
      <c r="E76" s="42">
        <f>C76-B76</f>
        <v>-100000</v>
      </c>
    </row>
    <row r="77" spans="1:5" ht="33" customHeight="1">
      <c r="A77" s="105" t="s">
        <v>155</v>
      </c>
      <c r="B77" s="114">
        <v>50000</v>
      </c>
      <c r="C77" s="27">
        <v>0</v>
      </c>
      <c r="D77" s="26">
        <f>IF(B77=0,"   ",C77/B77*100)</f>
        <v>0</v>
      </c>
      <c r="E77" s="42">
        <f>C77-B77</f>
        <v>-50000</v>
      </c>
    </row>
    <row r="78" spans="1:5" ht="27" customHeight="1">
      <c r="A78" s="75" t="s">
        <v>178</v>
      </c>
      <c r="B78" s="114">
        <v>50000</v>
      </c>
      <c r="C78" s="27">
        <v>0</v>
      </c>
      <c r="D78" s="26">
        <f>IF(B78=0,"   ",C78/B78*100)</f>
        <v>0</v>
      </c>
      <c r="E78" s="42">
        <f>C78-B78</f>
        <v>-50000</v>
      </c>
    </row>
    <row r="79" spans="1:5" ht="20.25" customHeight="1">
      <c r="A79" s="16" t="s">
        <v>13</v>
      </c>
      <c r="B79" s="25">
        <f>SUM(B80,B82,B89,)</f>
        <v>5725036.88</v>
      </c>
      <c r="C79" s="25">
        <f>SUM(C80,C82,C89,)</f>
        <v>393115.31</v>
      </c>
      <c r="D79" s="26">
        <f t="shared" si="0"/>
        <v>6.866598735342993</v>
      </c>
      <c r="E79" s="42">
        <f t="shared" si="1"/>
        <v>-5331921.57</v>
      </c>
    </row>
    <row r="80" spans="1:5" ht="12.75">
      <c r="A80" s="16" t="s">
        <v>14</v>
      </c>
      <c r="B80" s="25">
        <f>SUM(B81:B81)</f>
        <v>0</v>
      </c>
      <c r="C80" s="25">
        <f>SUM(C81:C81)</f>
        <v>0</v>
      </c>
      <c r="D80" s="26" t="str">
        <f t="shared" si="0"/>
        <v>   </v>
      </c>
      <c r="E80" s="42">
        <f t="shared" si="1"/>
        <v>0</v>
      </c>
    </row>
    <row r="81" spans="1:5" ht="15.75" customHeight="1">
      <c r="A81" s="16" t="s">
        <v>98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2.75">
      <c r="A82" s="16" t="s">
        <v>90</v>
      </c>
      <c r="B82" s="25">
        <f>SUM(B83:B85)</f>
        <v>4004884.88</v>
      </c>
      <c r="C82" s="25">
        <f>SUM(C83:C85)</f>
        <v>0</v>
      </c>
      <c r="D82" s="26">
        <f t="shared" si="0"/>
        <v>0</v>
      </c>
      <c r="E82" s="42">
        <f t="shared" si="1"/>
        <v>-4004884.88</v>
      </c>
    </row>
    <row r="83" spans="1:5" ht="12.75">
      <c r="A83" s="16" t="s">
        <v>301</v>
      </c>
      <c r="B83" s="25">
        <v>3278210</v>
      </c>
      <c r="C83" s="25">
        <v>0</v>
      </c>
      <c r="D83" s="26">
        <f>IF(B83=0,"   ",C83/B83*100)</f>
        <v>0</v>
      </c>
      <c r="E83" s="42">
        <f>C83-B83</f>
        <v>-3278210</v>
      </c>
    </row>
    <row r="84" spans="1:5" ht="12.75">
      <c r="A84" s="16" t="s">
        <v>322</v>
      </c>
      <c r="B84" s="25">
        <v>214200</v>
      </c>
      <c r="C84" s="25">
        <v>0</v>
      </c>
      <c r="D84" s="26">
        <f>IF(B84=0,"   ",C84/B84*100)</f>
        <v>0</v>
      </c>
      <c r="E84" s="42">
        <f>C84-B84</f>
        <v>-214200</v>
      </c>
    </row>
    <row r="85" spans="1:5" ht="26.25">
      <c r="A85" s="105" t="s">
        <v>206</v>
      </c>
      <c r="B85" s="25">
        <f>SUM(B86:B88)</f>
        <v>512474.88</v>
      </c>
      <c r="C85" s="25">
        <f>SUM(C86:C88)</f>
        <v>0</v>
      </c>
      <c r="D85" s="26">
        <f>IF(B85=0,"   ",C85/B85*100)</f>
        <v>0</v>
      </c>
      <c r="E85" s="42">
        <f>C85-B85</f>
        <v>-512474.88</v>
      </c>
    </row>
    <row r="86" spans="1:5" ht="26.25">
      <c r="A86" s="105" t="s">
        <v>213</v>
      </c>
      <c r="B86" s="25">
        <v>307500</v>
      </c>
      <c r="C86" s="25">
        <v>0</v>
      </c>
      <c r="D86" s="26">
        <f>IF(B86=0,"   ",C86/B86*100)</f>
        <v>0</v>
      </c>
      <c r="E86" s="42">
        <f>C86-B86</f>
        <v>-307500</v>
      </c>
    </row>
    <row r="87" spans="1:5" ht="26.25">
      <c r="A87" s="105" t="s">
        <v>214</v>
      </c>
      <c r="B87" s="25">
        <v>102487.44</v>
      </c>
      <c r="C87" s="25">
        <v>0</v>
      </c>
      <c r="D87" s="26">
        <f>IF(B87=0,"   ",C87/B87*100)</f>
        <v>0</v>
      </c>
      <c r="E87" s="42">
        <f>C87-B87</f>
        <v>-102487.44</v>
      </c>
    </row>
    <row r="88" spans="1:5" ht="26.25">
      <c r="A88" s="105" t="s">
        <v>215</v>
      </c>
      <c r="B88" s="25">
        <v>102487.44</v>
      </c>
      <c r="C88" s="27">
        <v>0</v>
      </c>
      <c r="D88" s="26">
        <f t="shared" si="0"/>
        <v>0</v>
      </c>
      <c r="E88" s="42">
        <f t="shared" si="1"/>
        <v>-102487.44</v>
      </c>
    </row>
    <row r="89" spans="1:5" ht="12.75">
      <c r="A89" s="16" t="s">
        <v>69</v>
      </c>
      <c r="B89" s="25">
        <f>B90+B91+B93+B97+B92</f>
        <v>1720152</v>
      </c>
      <c r="C89" s="25">
        <f>C90+C91+C93+C97+C92</f>
        <v>393115.31</v>
      </c>
      <c r="D89" s="26">
        <f t="shared" si="0"/>
        <v>22.853521665527232</v>
      </c>
      <c r="E89" s="42">
        <f t="shared" si="1"/>
        <v>-1327036.69</v>
      </c>
    </row>
    <row r="90" spans="1:5" ht="12.75">
      <c r="A90" s="16" t="s">
        <v>56</v>
      </c>
      <c r="B90" s="25">
        <v>548600</v>
      </c>
      <c r="C90" s="27">
        <v>393115.31</v>
      </c>
      <c r="D90" s="26">
        <f t="shared" si="0"/>
        <v>71.6579128691214</v>
      </c>
      <c r="E90" s="42">
        <f t="shared" si="1"/>
        <v>-155484.69</v>
      </c>
    </row>
    <row r="91" spans="1:5" ht="12.75">
      <c r="A91" s="16" t="s">
        <v>57</v>
      </c>
      <c r="B91" s="25">
        <v>23100</v>
      </c>
      <c r="C91" s="27">
        <v>0</v>
      </c>
      <c r="D91" s="26">
        <f t="shared" si="0"/>
        <v>0</v>
      </c>
      <c r="E91" s="42">
        <f t="shared" si="1"/>
        <v>-23100</v>
      </c>
    </row>
    <row r="92" spans="1:5" ht="26.25">
      <c r="A92" s="105" t="s">
        <v>302</v>
      </c>
      <c r="B92" s="25">
        <v>700000</v>
      </c>
      <c r="C92" s="27">
        <v>0</v>
      </c>
      <c r="D92" s="26">
        <f t="shared" si="0"/>
        <v>0</v>
      </c>
      <c r="E92" s="42">
        <f t="shared" si="1"/>
        <v>-700000</v>
      </c>
    </row>
    <row r="93" spans="1:5" ht="26.25">
      <c r="A93" s="105" t="s">
        <v>206</v>
      </c>
      <c r="B93" s="25">
        <f>SUM(B94:B96)</f>
        <v>146152</v>
      </c>
      <c r="C93" s="25">
        <f>SUM(C94:C96)</f>
        <v>0</v>
      </c>
      <c r="D93" s="26">
        <f aca="true" t="shared" si="2" ref="D93:D101">IF(B93=0,"   ",C93/B93*100)</f>
        <v>0</v>
      </c>
      <c r="E93" s="42">
        <f aca="true" t="shared" si="3" ref="E93:E101">C93-B93</f>
        <v>-146152</v>
      </c>
    </row>
    <row r="94" spans="1:5" ht="26.25">
      <c r="A94" s="105" t="s">
        <v>213</v>
      </c>
      <c r="B94" s="25">
        <v>87700</v>
      </c>
      <c r="C94" s="27">
        <v>0</v>
      </c>
      <c r="D94" s="26">
        <f t="shared" si="2"/>
        <v>0</v>
      </c>
      <c r="E94" s="42">
        <f t="shared" si="3"/>
        <v>-87700</v>
      </c>
    </row>
    <row r="95" spans="1:5" ht="26.25">
      <c r="A95" s="105" t="s">
        <v>214</v>
      </c>
      <c r="B95" s="25">
        <v>29226</v>
      </c>
      <c r="C95" s="27">
        <v>0</v>
      </c>
      <c r="D95" s="26">
        <f t="shared" si="2"/>
        <v>0</v>
      </c>
      <c r="E95" s="42">
        <f t="shared" si="3"/>
        <v>-29226</v>
      </c>
    </row>
    <row r="96" spans="1:5" ht="26.25">
      <c r="A96" s="105" t="s">
        <v>215</v>
      </c>
      <c r="B96" s="25">
        <v>29226</v>
      </c>
      <c r="C96" s="27">
        <v>0</v>
      </c>
      <c r="D96" s="26">
        <f t="shared" si="2"/>
        <v>0</v>
      </c>
      <c r="E96" s="42">
        <f t="shared" si="3"/>
        <v>-29226</v>
      </c>
    </row>
    <row r="97" spans="1:5" ht="15">
      <c r="A97" s="292" t="s">
        <v>274</v>
      </c>
      <c r="B97" s="25">
        <f>SUM(B98:B101)</f>
        <v>302300</v>
      </c>
      <c r="C97" s="25">
        <f>SUM(C99:C101)</f>
        <v>0</v>
      </c>
      <c r="D97" s="26">
        <f t="shared" si="2"/>
        <v>0</v>
      </c>
      <c r="E97" s="42">
        <f t="shared" si="3"/>
        <v>-302300</v>
      </c>
    </row>
    <row r="98" spans="1:5" ht="15">
      <c r="A98" s="292" t="s">
        <v>275</v>
      </c>
      <c r="B98" s="25">
        <v>209500</v>
      </c>
      <c r="C98" s="25">
        <v>0</v>
      </c>
      <c r="D98" s="26">
        <f t="shared" si="2"/>
        <v>0</v>
      </c>
      <c r="E98" s="42">
        <f t="shared" si="3"/>
        <v>-209500</v>
      </c>
    </row>
    <row r="99" spans="1:5" ht="15">
      <c r="A99" s="292" t="s">
        <v>276</v>
      </c>
      <c r="B99" s="25">
        <v>2116.16</v>
      </c>
      <c r="C99" s="27">
        <v>0</v>
      </c>
      <c r="D99" s="26">
        <f t="shared" si="2"/>
        <v>0</v>
      </c>
      <c r="E99" s="42">
        <f t="shared" si="3"/>
        <v>-2116.16</v>
      </c>
    </row>
    <row r="100" spans="1:5" ht="15">
      <c r="A100" s="292" t="s">
        <v>277</v>
      </c>
      <c r="B100" s="25">
        <v>45345</v>
      </c>
      <c r="C100" s="27">
        <v>0</v>
      </c>
      <c r="D100" s="26">
        <f t="shared" si="2"/>
        <v>0</v>
      </c>
      <c r="E100" s="42">
        <f t="shared" si="3"/>
        <v>-45345</v>
      </c>
    </row>
    <row r="101" spans="1:5" ht="15">
      <c r="A101" s="292" t="s">
        <v>278</v>
      </c>
      <c r="B101" s="25">
        <v>45338.84</v>
      </c>
      <c r="C101" s="27">
        <v>0</v>
      </c>
      <c r="D101" s="26">
        <f t="shared" si="2"/>
        <v>0</v>
      </c>
      <c r="E101" s="42">
        <f t="shared" si="3"/>
        <v>-45338.84</v>
      </c>
    </row>
    <row r="102" spans="1:5" ht="20.25" customHeight="1">
      <c r="A102" s="18" t="s">
        <v>17</v>
      </c>
      <c r="B102" s="31">
        <v>16000</v>
      </c>
      <c r="C102" s="31">
        <v>0</v>
      </c>
      <c r="D102" s="26">
        <f t="shared" si="0"/>
        <v>0</v>
      </c>
      <c r="E102" s="42">
        <f t="shared" si="1"/>
        <v>-16000</v>
      </c>
    </row>
    <row r="103" spans="1:5" ht="21.75" customHeight="1">
      <c r="A103" s="16" t="s">
        <v>41</v>
      </c>
      <c r="B103" s="24">
        <f>SUM(B104,)</f>
        <v>2489545</v>
      </c>
      <c r="C103" s="24">
        <f>SUM(C104,)</f>
        <v>1592536.56</v>
      </c>
      <c r="D103" s="26">
        <f t="shared" si="0"/>
        <v>63.96898067719202</v>
      </c>
      <c r="E103" s="42">
        <f t="shared" si="1"/>
        <v>-897008.44</v>
      </c>
    </row>
    <row r="104" spans="1:5" ht="14.25" customHeight="1">
      <c r="A104" s="16" t="s">
        <v>42</v>
      </c>
      <c r="B104" s="25">
        <v>2489545</v>
      </c>
      <c r="C104" s="27">
        <v>1592536.56</v>
      </c>
      <c r="D104" s="26">
        <f t="shared" si="0"/>
        <v>63.96898067719202</v>
      </c>
      <c r="E104" s="42">
        <f t="shared" si="1"/>
        <v>-897008.44</v>
      </c>
    </row>
    <row r="105" spans="1:5" ht="18.75" customHeight="1">
      <c r="A105" s="16" t="s">
        <v>124</v>
      </c>
      <c r="B105" s="25">
        <f>SUM(B106,)</f>
        <v>0</v>
      </c>
      <c r="C105" s="25">
        <f>C106</f>
        <v>0</v>
      </c>
      <c r="D105" s="26" t="str">
        <f t="shared" si="0"/>
        <v>   </v>
      </c>
      <c r="E105" s="42">
        <f t="shared" si="1"/>
        <v>0</v>
      </c>
    </row>
    <row r="106" spans="1:5" ht="12.75" customHeight="1">
      <c r="A106" s="16" t="s">
        <v>43</v>
      </c>
      <c r="B106" s="25">
        <v>0</v>
      </c>
      <c r="C106" s="28">
        <v>0</v>
      </c>
      <c r="D106" s="26" t="str">
        <f t="shared" si="0"/>
        <v>   </v>
      </c>
      <c r="E106" s="42">
        <f t="shared" si="1"/>
        <v>0</v>
      </c>
    </row>
    <row r="107" spans="1:5" ht="30.75" customHeight="1">
      <c r="A107" s="173" t="s">
        <v>15</v>
      </c>
      <c r="B107" s="150">
        <f>SUM(B52,B60,B62,B64,B79,B102,B103,B105,)</f>
        <v>11986640.1</v>
      </c>
      <c r="C107" s="150">
        <f>SUM(C52,C60,C62,C64,C79,C102,C103,C105,)</f>
        <v>4445765.09</v>
      </c>
      <c r="D107" s="141">
        <f>IF(B107=0,"   ",C107/B107*100)</f>
        <v>37.089334900444705</v>
      </c>
      <c r="E107" s="142">
        <f t="shared" si="1"/>
        <v>-7540875.01</v>
      </c>
    </row>
    <row r="108" spans="1:5" s="59" customFormat="1" ht="23.25" customHeight="1">
      <c r="A108" s="80" t="s">
        <v>304</v>
      </c>
      <c r="B108" s="80"/>
      <c r="C108" s="307"/>
      <c r="D108" s="307"/>
      <c r="E108" s="307"/>
    </row>
    <row r="109" spans="1:5" s="59" customFormat="1" ht="12" customHeight="1">
      <c r="A109" s="80" t="s">
        <v>154</v>
      </c>
      <c r="B109" s="80"/>
      <c r="C109" s="81" t="s">
        <v>247</v>
      </c>
      <c r="D109" s="82"/>
      <c r="E109" s="83"/>
    </row>
    <row r="110" spans="1:5" ht="15" customHeight="1">
      <c r="A110" s="7"/>
      <c r="B110" s="7"/>
      <c r="C110" s="6"/>
      <c r="D110" s="7"/>
      <c r="E110" s="2"/>
    </row>
    <row r="111" spans="1:5" ht="12" customHeight="1">
      <c r="A111" s="48"/>
      <c r="B111" s="48"/>
      <c r="C111" s="49"/>
      <c r="D111" s="50"/>
      <c r="E111" s="51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</sheetData>
  <sheetProtection/>
  <mergeCells count="2">
    <mergeCell ref="A1:E1"/>
    <mergeCell ref="C108:E108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2020-09-07T06:26:54Z</cp:lastPrinted>
  <dcterms:created xsi:type="dcterms:W3CDTF">2001-03-21T05:21:19Z</dcterms:created>
  <dcterms:modified xsi:type="dcterms:W3CDTF">2020-09-07T06:28:18Z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