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tabRatio="724" activeTab="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сводная" sheetId="11" r:id="rId11"/>
  </sheets>
  <definedNames>
    <definedName name="_xlnm.Print_Area" localSheetId="0">'Лист1'!$A$1:$J$135</definedName>
  </definedNames>
  <calcPr fullCalcOnLoad="1"/>
</workbook>
</file>

<file path=xl/sharedStrings.xml><?xml version="1.0" encoding="utf-8"?>
<sst xmlns="http://schemas.openxmlformats.org/spreadsheetml/2006/main" count="1297" uniqueCount="328">
  <si>
    <t>/ в руб. /</t>
  </si>
  <si>
    <t>Наименование показателя</t>
  </si>
  <si>
    <t xml:space="preserve">ДОХОДЫ </t>
  </si>
  <si>
    <t>из них: Налог на прибыль</t>
  </si>
  <si>
    <t>НАЛОГИ НА ТОВАРЫ И УСЛУГИ, лицензионные и регистрационные сборы</t>
  </si>
  <si>
    <t>из них: Лицензионные и регистрационные сборы</t>
  </si>
  <si>
    <t>Налог с продаж</t>
  </si>
  <si>
    <t>НАЛОГИ НА СОВОКУПНЫЙ ДОХОД</t>
  </si>
  <si>
    <t>из них: Единый налог на совокупный доход субьектов малого предпринимательства</t>
  </si>
  <si>
    <t>НАЛОГИ НА ИМУЩЕСТВО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</si>
  <si>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</si>
  <si>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</si>
  <si>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</si>
  <si>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</si>
  <si>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в том числе: Жилищное хозяйство</t>
  </si>
  <si>
    <t>ВСЕГО РАСХОДОВ</t>
  </si>
  <si>
    <t>НЕНАЛОГОВЫЕ ДОХОДЫ - всего</t>
  </si>
  <si>
    <t>ОХРАНА ОКРУЖАЮЩЕЙ СРЕДЫ</t>
  </si>
  <si>
    <t xml:space="preserve">           капремонт    </t>
  </si>
  <si>
    <t>СУБВЕНЦИИ</t>
  </si>
  <si>
    <t>Прочие неналоговые доходы</t>
  </si>
  <si>
    <t>Справочно:</t>
  </si>
  <si>
    <t xml:space="preserve">             Резервный фонд</t>
  </si>
  <si>
    <t xml:space="preserve">             Выдано бюджетных кредитов</t>
  </si>
  <si>
    <t>АКЦИЗЫ ПО ПОДАКЦИЗН,ТОВАРАМ</t>
  </si>
  <si>
    <t xml:space="preserve"> ДОХОДЫ - всего</t>
  </si>
  <si>
    <t>Единый сельскохозяйственный налог</t>
  </si>
  <si>
    <t>Налоги на имущество физических лиц</t>
  </si>
  <si>
    <t>ДОХОДЫ ОТ ИСПОЛЬЗОВАНИЯ ИМУЩЕСТВА,НАХОДЯЩЕГОСЯ В ГОСУДАРСТВЕННОЙ И МУНИЦИПАЛЬНОЙ СОБСТВЕННОСТИ</t>
  </si>
  <si>
    <t>арендная плата за земли</t>
  </si>
  <si>
    <t>доходы от сдачи в аренду имущества,находящегося в оперативном управлении органов местного самоуправления</t>
  </si>
  <si>
    <t>ШТРАФЫ, САНКЦИИ,ВОЗМЕЩЕНИЕ УЩЕРБА</t>
  </si>
  <si>
    <t>ПРОЧИЕ НЕНАЛОГОВЫЕ ДОХОДЫ</t>
  </si>
  <si>
    <t>БЕЗВОЗМЕЗДНЫЕ ПОСТУПЛЕНИЯ</t>
  </si>
  <si>
    <t>ДОТАЦИИ НА ВЫРАВНИВАНИЕ УРОВНЯ БЮДЖЕТНОЙ ОБЕСПЕЧЕННОСТИ</t>
  </si>
  <si>
    <t>ОБЩЕГОСУДАРСТВЕННЫЕ ВОПРОСЫ</t>
  </si>
  <si>
    <t>Функционирование местных администраций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</si>
  <si>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</si>
  <si>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</si>
  <si>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</si>
  <si>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Убытки жилфонда</t>
  </si>
  <si>
    <t>КУЛЬТУРА,КИНЕМАТОГРАФИЯ,СРЕДСТВА МАССОВОЙ ИНФОРМАЦИИ</t>
  </si>
  <si>
    <t xml:space="preserve">     Культура</t>
  </si>
  <si>
    <t xml:space="preserve">    Спорт и физическая культура</t>
  </si>
  <si>
    <t>Налог на доходы физических лиц</t>
  </si>
  <si>
    <t>НАЛОГИ НА ПРИБЫЛЬ,ДОХОДЫ</t>
  </si>
  <si>
    <t>Невыясненные поступления</t>
  </si>
  <si>
    <t>Прочие неналоговые поступления</t>
  </si>
  <si>
    <t>ИСТОЧНИКИ ФИНАНСИРОВАНИЯ ДЕФИЦИТОВ БЮДЖЕТОВ</t>
  </si>
  <si>
    <t>НАЦИОНАЛЬНАЯ ОБОРОНА</t>
  </si>
  <si>
    <t xml:space="preserve">Прочие  неналоговые  доходы  бюджетов  поселений  </t>
  </si>
  <si>
    <t>СУБВЕНЦИИ БЮДЖЕТАМ ПОСЕЛЕНИЙ НА ОСУЩЕСТВЛЕНИЕ ПОЛНОМОЧИЙ ПО ПЕРВИЧНОМУ ВОИНСКОМУ УЧЕТУ НА ТЕРРИТОРИЯХ,ГДЕ ОТСУТСТВУЮТ ВОЕННЫЕ КОМИССАРИАТЫ</t>
  </si>
  <si>
    <t>Другие общегосударственные вопросы</t>
  </si>
  <si>
    <t>Другие общегосударственные  вопросы</t>
  </si>
  <si>
    <t>ПРОЧИЕ  СУБСИДИИ  БЮДЖЕТАМ ПОСЕЛЕНИЙ</t>
  </si>
  <si>
    <t>ПРОЧИЕ  СУБСИДИИ БЮДЖЕТАМ  ПОСЕЛЕНИЙ</t>
  </si>
  <si>
    <t>из них: уличное освещение</t>
  </si>
  <si>
    <t xml:space="preserve">            прочие мероприятия по благоустройству</t>
  </si>
  <si>
    <t>в том числе: Благоустройство</t>
  </si>
  <si>
    <t xml:space="preserve">           прочие мероприятия по благоустройству</t>
  </si>
  <si>
    <t>из них: уличное  освещение</t>
  </si>
  <si>
    <t xml:space="preserve">           прочие  мероприятия по  благоустройству</t>
  </si>
  <si>
    <t>из них:уличное  освещение</t>
  </si>
  <si>
    <t>в том  числе : Благоустройство</t>
  </si>
  <si>
    <t>в  том  числе :Коммунальное хозяйство</t>
  </si>
  <si>
    <t>из  них :уличное  освещение</t>
  </si>
  <si>
    <t xml:space="preserve">             озеленение</t>
  </si>
  <si>
    <t xml:space="preserve">             организация и содержание  мест захоронения</t>
  </si>
  <si>
    <t xml:space="preserve">             прочие мероприятия по благоустройству</t>
  </si>
  <si>
    <t>в том  числе :Благоустройство</t>
  </si>
  <si>
    <t>в  том  числе : Коммунальное хозяйство</t>
  </si>
  <si>
    <t>из них: дотация на возмещение убытков ЖКХ</t>
  </si>
  <si>
    <t>В том числе : Благоустройство</t>
  </si>
  <si>
    <t xml:space="preserve">            озеленение</t>
  </si>
  <si>
    <t xml:space="preserve">            организация и содержание  мест  захоронения</t>
  </si>
  <si>
    <t xml:space="preserve">            прочие  мероприятия по  благоустройству</t>
  </si>
  <si>
    <t>ДОХОДЫ ОТ ПРОДАЖИ  МАТЕРИАЛЬНЫХ  И  НЕМАТЕРИАЛЬНЫХ АКТИВОВ</t>
  </si>
  <si>
    <t>доходы от  продажи  земельных участков , государственная собственность  на  которые не разграничена и которые  расположены в границах  поселений</t>
  </si>
  <si>
    <t>ДОХОДЫ ОТ ПРОДАЖИ  МАТЕРИАЛЬНЫХ И НЕМАТЕРИАЛЬНЫХ АКТИВОВ</t>
  </si>
  <si>
    <t>доходы от продажи земельных участков, государственная собственность на которые не разграничена  и которые расположены в границах поселений</t>
  </si>
  <si>
    <t xml:space="preserve">ПРОЧИЕ  СУБСИДИИ БЮДЖЕТАМ  ПОСЕЛЕНИЙ </t>
  </si>
  <si>
    <t xml:space="preserve">ПРОЧИЕ  СУБСИДИИ БЮДЖЕТАМ ПОСЕЛЕНИЙ </t>
  </si>
  <si>
    <t xml:space="preserve">ПРОЧИЕ  СУБСИДИИ  БЮДЖЕТАМ  ПОСЕЛЕНИЙ </t>
  </si>
  <si>
    <t>ДОХОДЫ ОТ ОКАЗАНИЯ ПЛАТНЫХ УСЛУГ И КОМПЕНСАЦИИ ЗАТРАТ ГОСУДАРСТВА</t>
  </si>
  <si>
    <t>Прочие доходы  от оказания платных услуг  получателями средств бюджетов  поселений и компенсации  затрат государства бюджетов поселений</t>
  </si>
  <si>
    <t>в  том  числе :Жилищное хозяйство</t>
  </si>
  <si>
    <t>Защита населения и территории  от последствий    чрезвычайных  ситуаций  природного и техногенного характера, гражданская оборона</t>
  </si>
  <si>
    <t>Защита населения и территории  от  последствий    чрезвычайных  ситуаций природного и техногенного характера, гражданская оборона</t>
  </si>
  <si>
    <t>ЗАДОЛЖЕННОСТЬ И ПЕРЕРАСЧЕТЫ ПО ОТМЕНЕННЫМ НАЛОГАМ, СБОРАМ И ИНЫМ ОБЯЗАТЕЛЬНЫМ ПЛАТЕЖАМ</t>
  </si>
  <si>
    <t>ЗАДОЛЖЕННОСТЬ И ПЕРЕРАСЧЕТЫ ПО ОТМЕНЕННЫМ  НАЛОГАМ, СБОРАМ И ИНЫМ ОБЯЗАТЕЛЬНЫМ ПЛАТЕЖАМ</t>
  </si>
  <si>
    <t>в том числе: Коммунальное хозяйство</t>
  </si>
  <si>
    <t>ДОХОДЫ ОТ ОКАЗАНИЯ  ПЛАТНЫХ  УСЛУГ  И  КОМПЕНСАЦИИ  ЗАТРАТ  ГОСУДАРСТВА</t>
  </si>
  <si>
    <t>из них: капремонт  жилфонда</t>
  </si>
  <si>
    <t>ЗАДОЛЖЕННОСТЬ  И  ПЕРЕРАСЧЕТЫ  ПО  ОТМЕНЕНЫМ НАЛОГАМ, СБОРАМ И ИНЫМ ОБЯЗАТЕЛЬНЫМ ПЛАТЕЖАМ</t>
  </si>
  <si>
    <t xml:space="preserve">          реализ.дополн. меропр.,направл.на снижение напряжен.на рынке труда</t>
  </si>
  <si>
    <t>Резервные фонды</t>
  </si>
  <si>
    <t xml:space="preserve">В том числе:Содержание аварийно-спасательного  звена </t>
  </si>
  <si>
    <t xml:space="preserve">                     Обеспечение противопожарной деятельности</t>
  </si>
  <si>
    <t>из них: капремонт жилфонда</t>
  </si>
  <si>
    <t xml:space="preserve"> в том числе: Благоустройство</t>
  </si>
  <si>
    <t xml:space="preserve"> из них:уличное освещение</t>
  </si>
  <si>
    <t>из них: капремонт   жилфонда</t>
  </si>
  <si>
    <t>Резервные  фонды</t>
  </si>
  <si>
    <t>МЕЖБЮДЖЕТНЫЕ ТРАНСФЕРТЫ, ПЕРЕДАВАЕМЫЕ  БЮДЖЕТАМ  ПОСЕЛЕНИЙ ДЛЯ КОМПЕНСАЦИИ  ДОПОЛНИТЕЛЬНЫХ РАСХОДОВ, ВОЗНИКШИХ В РЕЗУЛЬТАТЕ  РЕШЕНИЙ,ПРИНЯТЫХ ОРГАНАМИ ВЛАСТИ  ДРУГОГО УРОВНЯ</t>
  </si>
  <si>
    <t>ИТОГО  БЕЗВОЗМЕЗДНЫХ ПОСТУПЛЕНИЙ</t>
  </si>
  <si>
    <t>невыясненные поступления</t>
  </si>
  <si>
    <t xml:space="preserve">ПРОЧИЕ  СУБСИДИИ БЮДЖЕТАМ  ПОСЕЛЕНИЙ  </t>
  </si>
  <si>
    <t>осуществление первичного воинского учета на территориях, где отсутствуют военные комиссариаты (фед.)</t>
  </si>
  <si>
    <t>прочие неналоговые поступления</t>
  </si>
  <si>
    <t>в том числе субсидии на софинансирование по осуществлению дорожной деятельности</t>
  </si>
  <si>
    <t xml:space="preserve">прочие  неналоговые  доходы  бюджетов  поселений  </t>
  </si>
  <si>
    <t>Налог на имущество физических лиц</t>
  </si>
  <si>
    <t>налог на доходы физических лиц</t>
  </si>
  <si>
    <t>единый сельскохозяйственный налог</t>
  </si>
  <si>
    <t>налоги на имущество физических лиц</t>
  </si>
  <si>
    <t>СУБСИДИИ</t>
  </si>
  <si>
    <t>в том числе</t>
  </si>
  <si>
    <t>из них</t>
  </si>
  <si>
    <t>субсидии местным бюджетам на софинансирование расходов  бюджетов м/о по осуществлению дорожной деятельности, кроме деятельности по строительству в границах поселений</t>
  </si>
  <si>
    <t>ИНЫЕ МЕЖБЮДЖЕТНЫЕ ТРАНСФЕРТЫ</t>
  </si>
  <si>
    <t>из них: заработная плата</t>
  </si>
  <si>
    <t xml:space="preserve">из них: заработная плата </t>
  </si>
  <si>
    <t xml:space="preserve">из них: заработная плата  </t>
  </si>
  <si>
    <t>МЕЖБЮДЖЕТНЫЕ ТРАНСФЕРТЫ, ПЕРЕДАВАЕМЫЕ  БЮДЖЕТАМ ПОСЕЛЕНИЙ ДЛЯ КОМПЕНСАЦИИ ДОПОЛНИТЕЛЬНЫХ РАСХОДОВ, ВОЗНИКШИХ В РЕЗУЛЬТАТЕ РЕШЕНИЙ, ПРИНЯТЫХ ОРГАНАМИ ВЛАСТИ ДРУГОГО УРОВНЯ</t>
  </si>
  <si>
    <t>ФИЗИЧЕСКАЯ КУЛЬТУРА И СПОРТ</t>
  </si>
  <si>
    <t>доходы от реализации имущества</t>
  </si>
  <si>
    <t>невыясненные поступления, зачисляемые в бюджеты поселений</t>
  </si>
  <si>
    <t xml:space="preserve">                     Обеспечение пожарной безопасности</t>
  </si>
  <si>
    <t>Обеспечение пожарной безопасности</t>
  </si>
  <si>
    <t>прочие неналоговые доходы</t>
  </si>
  <si>
    <t xml:space="preserve">          прочие мероприятия по благоустройству</t>
  </si>
  <si>
    <t xml:space="preserve">      Дорожное хозяйство (дорожные фонды)</t>
  </si>
  <si>
    <t>МЕЖБЮДЖЕТНЫЕ ТРАНСФЕРТЫ, ПЕРЕДАВАЕМЫЕ  БЮДЖЕТАМ ПОСЕЛЕНИЙ  ДЛЯ КОМПЕНСАЦИИ ДОПОЛНИТЕЛЬНЫХ РАСХОДОВ,ВОЗНИКШИХ В РЕЗУЛЬТАТЕ РЕШЕНИЙ,ПРИНЯТЫХ ОРГАНАМИ ВЛАСТИ ДРУГОГО УРОВНЯ</t>
  </si>
  <si>
    <t>невыясненные прступления</t>
  </si>
  <si>
    <t>Доходы от реализации иного имущества, находящегося в собственности поселений</t>
  </si>
  <si>
    <t>в том числе: дотация на покрытие убытков  ЖКХ</t>
  </si>
  <si>
    <t xml:space="preserve">невыясненные поступления 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</si>
  <si>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</si>
  <si>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</si>
  <si>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арендная плата за земли после разграничения</t>
  </si>
  <si>
    <t>ИТОГО БЕЗВОЗМЕЗДНЫХ ПОСТУПЛЕНИЙ</t>
  </si>
  <si>
    <t>капитальный ремонт и ремонт дворовых территорий многоквартирных домов, проездов к дворовым территориям многоквартирныых домов( респ. )</t>
  </si>
  <si>
    <t>в  том  числе:  расходы на содержание объектов  в области  коммунального хозяйства</t>
  </si>
  <si>
    <t>в  том числе : на перечисления по обеспечению деятельности  муниципальных учреждений</t>
  </si>
  <si>
    <t>в  том числе : субсидии на обеспечение деятельности музеев</t>
  </si>
  <si>
    <t>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</si>
  <si>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</si>
  <si>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>СУБСИДИИ БЮДЖЕТАМ ПОСЕЛЕНИЙ НА БЮДЖЕТНЫЕ ИНВЕСТИЦИИ  В ОБЪЕКТЫ КАПИТАЛЬНОГО СТРОИТЕЛЬСТВА</t>
  </si>
  <si>
    <t>СУБВЕНЦИИ БЮДЖЕТАМ ПОСЕЛЕНИЙ НА ВЫПОЛНЕНИЕ  ПЕРЕДАВАЕМЫХ ПОЛНОМОЧИЙ СУБЪЕКТОВ РОССИЙСКОЙ ФЕДЕРАЦИИ</t>
  </si>
  <si>
    <t>в т. ч. проектирование и строительство автомобильных дорог ( местн.)</t>
  </si>
  <si>
    <t>в том числе: Коммунальное  хозяйство</t>
  </si>
  <si>
    <t>доходы от сдачи в аренду имущества</t>
  </si>
  <si>
    <t>арендная плата за земли, находящ. в собственности поселений</t>
  </si>
  <si>
    <t>арендная плата за земли  до  разграничения</t>
  </si>
  <si>
    <t>администрации Козловского района</t>
  </si>
  <si>
    <t>из  них: проведение землеустроительных (кадастровых) работ  по земельным участкам, находящимся в муниципальной собственности  Чувашской  Республики, и внесение сведений в кадастр недвижимости</t>
  </si>
  <si>
    <t>в том числе: Жилищное  хозяйство</t>
  </si>
  <si>
    <t>из них: капитальный ремонт жилищного фонда</t>
  </si>
  <si>
    <t>в  том  числе:  капитальный и текущий ремонт объектов водоснабжения</t>
  </si>
  <si>
    <t xml:space="preserve">  из них: капитальный и текущий ремонт объектов водоснабжения</t>
  </si>
  <si>
    <t>земельный налог- всего</t>
  </si>
  <si>
    <t xml:space="preserve">  - земельный налог с организаций</t>
  </si>
  <si>
    <t xml:space="preserve">  - земельный налог с физических лиц</t>
  </si>
  <si>
    <t xml:space="preserve">  в том числе : на осуществление госполномочий ЧР по ведению учета граждан</t>
  </si>
  <si>
    <t xml:space="preserve">  в том числе : на осуществление госполномочий ЧР по организации и осуществлению мероприятий по регулированию численности безнадзорных животных</t>
  </si>
  <si>
    <t>Сельское хозяйство и рыболовство</t>
  </si>
  <si>
    <t>в т. ч. на мероприятия по регулированию численности безнадзорных животных ( респ.)</t>
  </si>
  <si>
    <t xml:space="preserve">           мероприятия, направленные на энергосбережение и повышение энергетической эффективности энергетических ресурсов, используемых для целей уличного освещения</t>
  </si>
  <si>
    <t>доходы от продажи земельных участков, находящиеся в собственности сельских поселений (за исключением земельных участков муниципальных бюджетных и автономных учреждений)</t>
  </si>
  <si>
    <t>в т. ч. на мероприятия по регулированию численности безнадзорных животных ( местн.)</t>
  </si>
  <si>
    <t>ПРОЧИЕ МЕЖБЮДЖЕТНЫЕ ТРАНСФЕРТЫ, ПЕРЕДАВАЕМЫЕ БЮДЖЕТАМ ПОСЕЛЕНИЙ</t>
  </si>
  <si>
    <t>из них: содержание муниципального жилфонда</t>
  </si>
  <si>
    <t>из  них: прочие выплаиы по обязательствам муниципального образования (районн. бюдж.)</t>
  </si>
  <si>
    <t xml:space="preserve">       Сельское хозяйство и рыболовство</t>
  </si>
  <si>
    <t>ДОХОДЫ ОТ ОКАЗАНИЯ  ПЛАТНЫХ УСЛУГ (РАБОТ) И КОМПЕНСАЦИИ ЗАТРАТ ГОСУДАРСТВА</t>
  </si>
  <si>
    <t>Прочие доходы от оказания платных услуг (работ)</t>
  </si>
  <si>
    <t xml:space="preserve">      Сельское хозяйство и рыболовство</t>
  </si>
  <si>
    <t xml:space="preserve">      Другие вопросы в области национальной экономики</t>
  </si>
  <si>
    <t>в т. ч. актуализация документов террит. планирования с использованием цифровой картогрфич. основы и внесение измен. в правила землепользов. и застройки  (местн.)</t>
  </si>
  <si>
    <t>СУБСИДИИ  БЮДЖЕТАМ ПОСЕЛЕНИЙ НА ПОДДЕРЖКУ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</si>
  <si>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</si>
  <si>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</si>
  <si>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>поддержка муниципальных программ формирования современной городской среды</t>
  </si>
  <si>
    <t>содержание жилфонда</t>
  </si>
  <si>
    <t>ждоходы от реализации иного имущества, находящегося в собственности поселения</t>
  </si>
  <si>
    <t>ПРОЧИЕ БЕЗВОЗМЕЗДНЫЕ ПОСТУПЛЕНИЯ В БЮДЖЕТЫ ГОРОДСКИХ ПОСЕЛЕНИЙ</t>
  </si>
  <si>
    <t xml:space="preserve">ПРОЧИЕ БЕЗВОЗМЕЗДНЫЕ ПОСТУПЛЕНИЯ </t>
  </si>
  <si>
    <t xml:space="preserve">           на реализацию проектов развития общественной инфраструктуры, основанных на местных инициативах (ср-ва респ. бюдж.)             </t>
  </si>
  <si>
    <t>в том числе субсидии на реализацию проектов развития общественной инфраструктуры, основанных на местных инициативах</t>
  </si>
  <si>
    <t>в т. ч. на мероприятия по регулированию численности безнадзорных животных ( ср-ва посел.)</t>
  </si>
  <si>
    <t xml:space="preserve">           на реализацию проектов развития общественной инфраструктуры, основанных на местных инициативах (ср-ва посел.)             </t>
  </si>
  <si>
    <t xml:space="preserve">           на реализацию проектов развития общественной инфраструктуры, основанных на местных инициативах (ср-ва  насел.)             </t>
  </si>
  <si>
    <t xml:space="preserve">                      ср-ва поселений  (софинансирование)</t>
  </si>
  <si>
    <t>в  том числе : на перечисления по содержанию библиотек</t>
  </si>
  <si>
    <t xml:space="preserve">                      ср-ва поселений (софинансир.)</t>
  </si>
  <si>
    <t>из них: осуществление функций по использованию объектов коммунального хозяйства муниципальных образований, содержание объектов коммунального хозяйства</t>
  </si>
  <si>
    <t>ГОСУДАРСТВЕННАЯ ПОШЛИНА</t>
  </si>
  <si>
    <t>из них: газификация населенных пунктов (проектир., стр-во, (реконстр.) газопроводных сетей)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</si>
  <si>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</si>
  <si>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ПРОЧИЕ БЕЗВОЗМЕЗДНЫЕ ПОСТУПЛЕНИЯ</t>
  </si>
  <si>
    <t xml:space="preserve">           на реализацию проектов развития общественной инфраструктуры, основанных на местных инициативах (ср-ва местн. бюдж.)            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</si>
  <si>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такжк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</si>
  <si>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поселения</t>
  </si>
  <si>
    <t xml:space="preserve">в  том числе : на расходы по  оплате за ПСД по стр-ву СДК </t>
  </si>
  <si>
    <t>В т. ч. на  строительство (реконструкция) зданий муниципальных учреждений культуры (ПСД на СДК)</t>
  </si>
  <si>
    <t>доходы от продажи земельных участков, находящихся в собственности сельских поселений(за исключением  земельных участков бюджетных и автономных учреждений)</t>
  </si>
  <si>
    <t xml:space="preserve">           на реализацию проектов развития общественной инфраструктуры, основанных на местных инициативах - всего       </t>
  </si>
  <si>
    <t xml:space="preserve">       в том числе:  на реализацию проектов развития общественной инфраструктуры, основанных на местных инициативах (ср-ва местн. бюдж.)             </t>
  </si>
  <si>
    <t xml:space="preserve">           на реализацию проектов развития общественной инфраструктуры, основанных на местных инициативах - всего          </t>
  </si>
  <si>
    <t xml:space="preserve">         в том числе:  на реализацию проектов развития общественной инфраструктуры, основанных на местных инициативах (ср-ва респ. бюдж.)             </t>
  </si>
  <si>
    <t xml:space="preserve">     в том числе:  на реализацию проектов развития общественной инфраструктуры, основанных на местных инициативах (ср-ва мест. бюдж.)             </t>
  </si>
  <si>
    <t xml:space="preserve">    в том числе:   на реализацию проектов развития общественной инфраструктуры, основанных на местных инициативах (ср-ва от насел.)             </t>
  </si>
  <si>
    <t xml:space="preserve">           на реализацию проектов развития общественной инфраструктуры, основанных на местных инициативах (ср-ва от насел.)             </t>
  </si>
  <si>
    <t xml:space="preserve">       в том числе:    на реализацию проектов развития общественной инфраструктуры, основанных на местных инициативах (ср-ва респ. бюдж.)             </t>
  </si>
  <si>
    <t xml:space="preserve">      в том числе:     на реализацию проектов развития общественной инфраструктуры, основанных на местных инициативах (ср-ва местн. бюдж.)             </t>
  </si>
  <si>
    <t xml:space="preserve">      в том числе:     на реализацию проектов развития общественной инфраструктуры, основанных на местных инициативах (ср-ва от насел.)             </t>
  </si>
  <si>
    <t xml:space="preserve">       в том числе:   на реализацию проектов развития общественной инфраструктуры, основанных на местных инициативах (ср-ва  респ.бюдж.)             </t>
  </si>
  <si>
    <t xml:space="preserve">    в том числе:    на реализацию проектов развития общественной инфраструктуры, основанных на местных инициативах (ср-ва от насел.)             </t>
  </si>
  <si>
    <t xml:space="preserve">             поощрение победителей ежегодного районного (городского) смотра-конкурса на лучшее озеленение и благоустройство</t>
  </si>
  <si>
    <t>МЕЖБЮДЖЕТНЫЕ ТРАНСФЕРТЫ, ПЕРЕДАВАЕМЫЕ БЮДЖЕТАМ ГОРОДСКИХ ПОСЕЛЕНИЙ ИЗ БЮДЖЕТОВ МУНИЦИПАЛЬНЫХ РАЙОНОВ НА ОСУЩЕСТВЛЕНИЕ ПОЛНОМОЧИЙ ПО РЕШЕНИЮ ВОПРОСОВ МЕСТНОГО ЗНАЧЕНИЯ В  СООТВЕТСТВИИ С ЗАКЛЮЧЕННЫМИ СОГЛАШЕНИЯМИ</t>
  </si>
  <si>
    <t>в том числе субсидии на реализацию проектов развития общественной инфраструктуры, основанных на местных инициативах ( раздел  "ЖКХ")</t>
  </si>
  <si>
    <t>в том числе субсидии на реализацию проектов развития общественной инфраструктуры, основанных на местных инициативах ( ПР  "0409")</t>
  </si>
  <si>
    <t xml:space="preserve">из  них: выполнение других обязательств  муниципального образования </t>
  </si>
  <si>
    <t xml:space="preserve">из  них:  выполнение других обязательств  муниципального образования </t>
  </si>
  <si>
    <t>в  том числе :   резервные  средства</t>
  </si>
  <si>
    <t xml:space="preserve">  из них: эксплуатация, техническое содержание и обслуживание сетей водопровода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</si>
  <si>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такжк имущества муниципальных унитарных предприятий, в том числе казенных)</t>
  </si>
  <si>
    <t>доходы от  продажи  земельных участков , находящихся в собственности городских поселений  (за исключением  земельных участков  муниципальных  бюджетных и автономных учреждений)</t>
  </si>
  <si>
    <t>доходы от  продажи  земельных участков , находящихся в собственности сельских поселений  (за исключением  земельных участков  муниципальных  бюджетных и автономных учреждений)</t>
  </si>
  <si>
    <t>ДОТАЦИИ НА ПОДДЕРЖКУ МЕР  ПО ОБЕСПЕЧЕНИЮ СБАЛАНСИРОВАННОСТИ БЮДЖЕТОВ</t>
  </si>
  <si>
    <t xml:space="preserve">доходы от  продажи  земельных участков </t>
  </si>
  <si>
    <t>Водное хозяйство</t>
  </si>
  <si>
    <t>в т. ч. Мероприятия в области использования, охраны водных объектов и гидротехнических сооружений</t>
  </si>
  <si>
    <t>СОЦИАЛЬНАЯ ПОЛИТИКА</t>
  </si>
  <si>
    <t>в т. ч. : Выплаты пенсии за выслугу лет муниципальным служащим</t>
  </si>
  <si>
    <t xml:space="preserve">        Водное хозяйство</t>
  </si>
  <si>
    <t>из  них: прочие выплаты по  обязательствам муниципального образования</t>
  </si>
  <si>
    <t>из  них: выполнение других обязательств муниципального образования</t>
  </si>
  <si>
    <t>СУБСИДИИ БЮДЖЕТАМ НА ОСУЩЕСТВЛЕНИЕ ДОРОЖНОЙ ДЕЯТЕЛЬНОСТИ В ОТНОШЕНИИ АВТОМОБИЛЬНЫХ ДОРОГ ОБЩЕГО ПОЛЬЗОВАНИЯ, А ТАКЖЕ  КАПИТАЛЬНОГО РЕМОНТА  И РЕМОНТА ДВОРОВЫХ ТЕРРИТОРИЙ МНОГОКВАРТИРНЫХ ДОМОВ,ПРОЕЗДОВ К ДВОРОВЫМ ТЕРРИТОРИЯМ МНОГОКВАРТИРНЫХ ДОМОВ НАСЕЛЕННЫХ ПУНКТОВ</t>
  </si>
  <si>
    <t xml:space="preserve">СУБСИДИИ БЮДЖЕТАМ НА СОФИНАНСИРОВАНИЕ КАПИТАЛЬНЫХ ВЛОЖЕНИЙ </t>
  </si>
  <si>
    <t>СУБСИДИИ БЮДЖЕТАМ НА ОСУЩЕСТВЛЕНИЕ ДОРОЖНОЙ ДЕЯТЕЛЬНОСТИ В ОТНОШЕНИИ АВТОМОБИЛЬНЫХ ДОРОГ ОБЩЕГО ПОЛЬЗОВАНИЯ, А ТАКЖЕ  КАПИТАЛЬНОГО РЕМОНТА  И РЕМОНТА ДВОРОВЫХ ТЕРРИТОРИЙ МНОГОКВАРТИРНЫХ ДОМОВ,ПРОЕЗДОВ К ДВОРОВЫМ ТЕРРИТОРИЯМ МНОГОКВАРТИРНЫХ ДОМОВ НАСЕЛЕННЫХ ПУНКТОВ    (КР Дворовых)</t>
  </si>
  <si>
    <t>Общеэкономические вопросы</t>
  </si>
  <si>
    <t xml:space="preserve">    в т. ч. организация  временного трудоустройства безработных граждан, испытывающих трудности в поиске работы</t>
  </si>
  <si>
    <t>из  них: осуществление  мер по противодействию терроризму в муниципальном образовании</t>
  </si>
  <si>
    <t>из  них: обеспечение  реализ. полномоч. по технич. учету, технич. инвентариз. и определ. кадастров. стоим. объектов недвижимости, а также мониторингу и обработке данных рынка недвижимости</t>
  </si>
  <si>
    <t>прочие выплаты по обязательствам  муниципального образования</t>
  </si>
  <si>
    <t>софинансирование  из местного бюджета  на капремонт и ремонт дворовых территорий многоквартирных домов (софин.местн.)</t>
  </si>
  <si>
    <t>Е.Е.  Матушкина</t>
  </si>
  <si>
    <t>из  них: обеспечение  реализации полномочий по техническому учету, технической инвентаризации и определению кадастровой стоимости объектов недвижимости, а также мониторингу и обработке данных рынка недвижимости</t>
  </si>
  <si>
    <t>организация и проведение фестивалей, конкурсов, торжественных вечеров, концертов и иных зрелищных мероприятий</t>
  </si>
  <si>
    <t>Благоустройство  дворовых и общественных территорий (ср-ва  посел.)</t>
  </si>
  <si>
    <t>Уточненный план на 2020 год</t>
  </si>
  <si>
    <t>% исполне-ния к  годовому плану  на 2020 г.</t>
  </si>
  <si>
    <t>Отклонение от годового плана 2020 г ( +, - )</t>
  </si>
  <si>
    <t>% исполне-ния к  годовому плану  на  2020 г.</t>
  </si>
  <si>
    <t>% исполнения к  годовому плану  на 2020 г.</t>
  </si>
  <si>
    <t xml:space="preserve">Отклонение от годового плана 2020 г ( +, - )         </t>
  </si>
  <si>
    <t xml:space="preserve">в т.ч. Капитальный ремонт и ремонт  автомобильных дорог общего пользования местного значения в границах населенных пунктов поселения (ср-ва местн. бюдж.)                  </t>
  </si>
  <si>
    <t xml:space="preserve">в т.ч. Содержание   автомобильных дорог общего пользования местного значения в границах населенных пунктов поселения (ср-ва местн. бюдж.)                  </t>
  </si>
  <si>
    <t xml:space="preserve">в т.ч. Капитальный ремонт и ремонт  автомобильных дорог общего пользования местного значения в границах населенных пунктов поселения (ср-ва респ. бюдж.)                  </t>
  </si>
  <si>
    <t xml:space="preserve">в т.ч. Капитальный ремонт и ремонт  автомобильных дорог общего пользования местного значения в границах населенных пунктов поселения- софинансирование (ср-ва местн. бюдж.)                  </t>
  </si>
  <si>
    <t xml:space="preserve">в т.ч. Содержание   автомобильных дорог общего пользования местного значения в границах населенных пунктов поселения (ср-ва респ. бюдж.)                  </t>
  </si>
  <si>
    <t xml:space="preserve">в т.ч. Содержание   автомобильных дорог общего пользования местного значения в границах населенных пунктов поселения- софинансирование (ср-ва местн. бюдж.)                  </t>
  </si>
  <si>
    <t xml:space="preserve">в  том числе : на расходы по  содержанию СДК </t>
  </si>
  <si>
    <t>из  них: прочие выплаты по обязательствам муниципального образования</t>
  </si>
  <si>
    <t>СУБСИДИИ БЮДЖЕТАМ НА ОСУЩЕСТВЛЕНИЕ ДОРОЖНОЙ ДЕЯТЕЛЬНОСТИ В ОТНОШЕНИИ АВТОМОБИЛЬНЫХ ДОРОГ ОБЩЕГО ПОЛЬЗОВАНИЯ, А ТАКЖЕ  КАПИТАЛЬНОГО РЕМОНТА  И РЕМОНТА ДВОРОВЫХ ТЕРРИТОРИЙ МНОГОКВАРТИРНЫХ ДОМОВ,ПРОЕЗДОВ К ДВОРОВЫМ ТЕРРИТОРИЯМ МНОГОКВАРТИРНЫХ ДОМОВ НАСЕЛЕННЫХ ПУНКТОВ (КР  дорог)</t>
  </si>
  <si>
    <t>СУБСИДИИ БЮДЖЕТАМ ГОРОДСКИХ ПОСЕЛЕНИЙ НА ПОДГОТОВКУ И ПРОВЕДЕНИЕ  ПРАЗДНОВАНИЯ НА ФЕДЕРАЛЬНОМ УРОВНЕ ПАМЯТНЫХ ДАТ СУБЪЕКТОВ РОССИЙСКОЙ  ФЕДЕРАЦИИ</t>
  </si>
  <si>
    <t>На  подготовку и проведение празднования на федеральном уровне памятных дат - всего</t>
  </si>
  <si>
    <t>в т. ч. Организация и обеспечение безопасности дорожного движения ( местн.)</t>
  </si>
  <si>
    <t>в т. ч. Организация и обеспечение безопасности дорожного движения (местн.)</t>
  </si>
  <si>
    <t>МЕЖБЮДЖЕТНЫЕ ТРАНСФЕРТЫ, ПЕРЕДАВАЕМЫЕ БЮДЖЕТАМ ГОРОДСКИХ ПОСЕЛЕНИЙ ИЗ БЮДЖЕТОВ МУНИЦИПАЛЬНЫХ РАЙОНОВ НА ОСУЩЕСТВЛЕНИЕ ПОЛНОМОЧИЙ ПО РЕШЕНИЮ ВОПРОСОВ МЕСТНОГО ЗНАЧЕНИЯ В  СООТВЕТСТВИИ С ЗАКЛЮЧЕННЫМИ СОГЛАШЕНИЯМИ (НА РЕАЛИЗ ПРОГ. СОВРЕМ. ГОРОД. СРЕДЫ)</t>
  </si>
  <si>
    <t>МЕЖБЮДЖЕТНЫЕ ТРАНСФЕРТЫ, ПЕРЕДАВАЕМЫЕ БЮДЖЕТАМ ГОРОДСКИХ ПОСЕЛЕНИЙ ИЗ БЮДЖЕТОВ МУНИЦИПАЛЬНЫХ РАЙОНОВ НА ОСУЩЕСТВЛЕНИЕ ПОЛНОМОЧИЙ ПО РЕШЕНИЮ ВОПРОСОВ МЕСТНОГО ЗНАЧЕНИЯ В  СООТВЕТСТВИИ С ЗАКЛЮЧЕННЫМИ СОГЛАШЕНИЯМИ ((НА ПОДГОТ. И ПРОВЕД. ПРАЗДНОВАНИЯ ПАМЯТНЫХ ДАТ)</t>
  </si>
  <si>
    <t>доходы от сдачи в аренду имущества, составляющего  казну  сельских поселений (за исключением земельных участков)</t>
  </si>
  <si>
    <t xml:space="preserve">Реализация комплекса мероприятий  по благоустройству  дворовых территрий и тротуаров (ср-ва  респ. бюдж.)                     </t>
  </si>
  <si>
    <t xml:space="preserve">          Благоустройство сельских территорий - всего       </t>
  </si>
  <si>
    <t xml:space="preserve">           в том числе за счет  средств фед. бюдж.             </t>
  </si>
  <si>
    <t xml:space="preserve">           в том числе за счет  средств  респ. бюдж.             </t>
  </si>
  <si>
    <t xml:space="preserve">          в том числе за счет  средств  бюдж.  посел.      </t>
  </si>
  <si>
    <t xml:space="preserve">      в том числе за счет  средств  от насел. </t>
  </si>
  <si>
    <t>СУБСИДИИ БЮДЖЕТАМ СЕЛЬСКИХ ПОСЕЛЕНИЙ НА ОБЕСПЕЧЕНИЕ КОМПЛЕКСНОГО РАЗВИТИЯ СЕЛЬСКИХ ТЕРРИТОРИЙ</t>
  </si>
  <si>
    <t>в том числе субсидии на реализацию комплекса мероприятий по благоустройству дворовых территорий и тротуаров</t>
  </si>
  <si>
    <t>в том числе субсидии на реализацию комплекса мероприятий по благоустройству дворовых территорий и тротуаров( раздел  "ЖКХ")</t>
  </si>
  <si>
    <t>в т. ч. проектирование и строительство автомобильных дорог (местн.)</t>
  </si>
  <si>
    <t>Профицит, дефицит (-)</t>
  </si>
  <si>
    <t>Справочно: Дорожный фонд</t>
  </si>
  <si>
    <t>Доходы</t>
  </si>
  <si>
    <t>Расходы</t>
  </si>
  <si>
    <t>в том числе субсидии на реализацию проектов развития общественной инфраструктуры, основанных на местных инициативах (р. 0409)</t>
  </si>
  <si>
    <t xml:space="preserve">из них: по ведению учета граждан (ср-ва респ. бюдж.) </t>
  </si>
  <si>
    <t xml:space="preserve">Реализация комплекса мероприятий  по благоустройству  дворовых территрий и тротуаров- всего                 </t>
  </si>
  <si>
    <t xml:space="preserve">Реализация комплекса мероприятий  по благоустройству  дворовых территрий и тротуаров (ср-ва  посел.)                     </t>
  </si>
  <si>
    <t xml:space="preserve">Реализация комплекса мероприятий  по благоустройству  дворовых территрий и тротуаров (ср-ва  насел.)                     </t>
  </si>
  <si>
    <t>из них: капитальный и текущий ремонт объектов водоснабжения</t>
  </si>
  <si>
    <t xml:space="preserve">    из них:        на реализацию проектов развития общественной инфраструктуры, основанных на местных инициативах - всего       </t>
  </si>
  <si>
    <t>в  том числе : реконструкция (реставрация) объектов культурного населедия (ПСД по реконстр. Музея)</t>
  </si>
  <si>
    <t xml:space="preserve">    Организация и проведение официальных физкультурных мероприятий</t>
  </si>
  <si>
    <t>в том числе субсидии на капитальный ремонт источников водоснабжения</t>
  </si>
  <si>
    <t>ПРОЧИЕ МЕЖБЮДЖЕТНЫЕ ТРАНСФЕРТЫ, ПЕРЕДАВАЕМЫЕ БЮДЖЕТАМ ПОСЕЛЕНИЙ (На благоустройство и развитие  территорий  поселения)</t>
  </si>
  <si>
    <t>ПРОЧИЕ МЕЖБЮДЖЕТНЫЕ ТРАНСФЕРТЫ, ПЕРЕДАВАЕМЫЕ БЮДЖЕТАМ ПОСЕЛЕНИЙ(На благоустройство и развитие  территорий  поселения)</t>
  </si>
  <si>
    <t>ПРОЧИЕ МЕЖБЮДЖЕТНЫЕ ТРАНСФЕРТЫ, ПЕРЕДАВАЕМЫЕ БЮДЖЕТАМ ПОСЕЛЕНИЙ(На поощрение победителей регион. Конкурса "Лучшая муниц. практика"</t>
  </si>
  <si>
    <t>в том числе субсидии на капитальный ремонт источников водоснабжения ( раздел  "ЖКХ")</t>
  </si>
  <si>
    <t xml:space="preserve">из них: капитальный  ремонт  источников водоснабжения (ср-ва респ. бюдж.)             </t>
  </si>
  <si>
    <t xml:space="preserve">           на реализацию проектов, направленных на благоустройство и развитие территорий населенных пунктов(ср-ва респ. бюдж.)       </t>
  </si>
  <si>
    <t xml:space="preserve">           на поощрение победителей конкурса "Лучшая муниципальная практика" (ср-ва респ. бюдж.)       </t>
  </si>
  <si>
    <t>Начальник  финансового отдела</t>
  </si>
  <si>
    <t>МЕЖБЮДЖЕТНЫЕ ТРАНСФЕРТЫ, ПЕРЕДАВАЕМЫЕ  БЮДЖЕТАМ  ПОСЕЛЕНИЙ  НА ОСУЩЕСТВЛЕНИЕ ЧАСТИ ПОЛНОМОЧИЙ ПО РЕШЕНИЮ ВОПРОСОВ МЕСТНОГО ЗНАЧЕНИЯ (На комплексное развитие сельских территорий)</t>
  </si>
  <si>
    <t xml:space="preserve">из них: капитальный  ремонт  источников водоснабжения (ср-ва посел.)             </t>
  </si>
  <si>
    <t xml:space="preserve">из  них:  прочие выплаты по обязательствам   муниципального образования </t>
  </si>
  <si>
    <t>доходы от продажи земельных участков, находящихся в собственности сельских поселений</t>
  </si>
  <si>
    <t>доходы от продажи земельных участков, находящиеся в  собственности  сельских поселений</t>
  </si>
  <si>
    <t xml:space="preserve">В т. ч. на  строительство (реконструкция) зданий муниципальных учреждений культуры </t>
  </si>
  <si>
    <t>Анализ  исполнения бюджета Андреево-Базарского сельского поселения за октябрь  2020 года</t>
  </si>
  <si>
    <t>Фактическое исполнение за  октябрь  2020 года</t>
  </si>
  <si>
    <t>Анализ исполнения бюджета Аттиковского сельского поселения за октябрь  2020 года</t>
  </si>
  <si>
    <t>Фактическое исполнение за  октябрь 2020 года</t>
  </si>
  <si>
    <t>Анализ исполнения бюджета  Байгуловского сельского поселения за октябрь 2020 года</t>
  </si>
  <si>
    <t>Анализ исполнения бюджета  Еметкинского сельского поселения за  октябрь  2020 года</t>
  </si>
  <si>
    <t>Фактическое исполнение за октябрь  2020 года</t>
  </si>
  <si>
    <t>Анализ исполнения бюджета  Карамышевского сельского поселения за октябрь  2020 года</t>
  </si>
  <si>
    <t>Анализ исполнения бюджета  Карачевского сельского поселения за октябрь  2020 года</t>
  </si>
  <si>
    <t>Анализ исполнения бюджета  Козловского  городского  поселения  за октябрь  2020 года</t>
  </si>
  <si>
    <t>Анализ исполнения бюджета  Солдыбаевского сельского поселения за октябрь  2020 года</t>
  </si>
  <si>
    <t>Анализ исполнения бюджета  Тюрлеминского сельского поселения за октябрь  2020 года</t>
  </si>
  <si>
    <t>Анализ исполнения бюджета  Янгильдинского сельского поселения за октябрь  2020 года</t>
  </si>
  <si>
    <t>Анализ   исполнения   бюджетов   поселений   за  октябрь  2020 года.</t>
  </si>
  <si>
    <t>Фактическое исполнение за  октябрь   2020 года</t>
  </si>
  <si>
    <t xml:space="preserve">из них: капитальный  ремонт  источников водоснабжения (ср-ва мест. бюдж.)             </t>
  </si>
  <si>
    <t xml:space="preserve">из них: капитальный  ремонт  источников водоснабжения (ср-ва местн. бюдж.)      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</si>
</sst>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_-* #,##0.0_р_._-;\-* #,##0.0_р_._-;_-* &quot;-&quot;_р_._-;_-@_-"/>
    <numFmt numFmtId="168" formatCode="_-* #,##0.00_р_._-;\-* #,##0.00_р_._-;_-* &quot;-&quot;_р_._-;_-@_-"/>
    <numFmt numFmtId="169" formatCode="#,##0.0_ ;\-#,##0.0\ "/>
    <numFmt numFmtId="170" formatCode="#,##0.00_ ;\-#,##0.00\ 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</numFmts>
  <fonts count="60">
    <font>
      <sz val="10"/>
      <name val="Arial Cyr"/>
      <family val="0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i/>
      <sz val="10"/>
      <color indexed="10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sz val="9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0"/>
    </font>
    <font>
      <sz val="10"/>
      <color indexed="18"/>
      <name val="Arial Cyr"/>
      <family val="2"/>
    </font>
    <font>
      <sz val="11"/>
      <name val="Times New Roman"/>
      <family val="1"/>
    </font>
    <font>
      <sz val="8"/>
      <color indexed="8"/>
      <name val="Arial Cyr"/>
      <family val="0"/>
    </font>
    <font>
      <sz val="10"/>
      <color indexed="8"/>
      <name val="Arial Cyr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" fontId="15" fillId="20" borderId="1">
      <alignment horizontal="right" vertical="top" shrinkToFit="1"/>
      <protection/>
    </xf>
    <xf numFmtId="4" fontId="15" fillId="0" borderId="1">
      <alignment horizontal="right" vertical="top" shrinkToFit="1"/>
      <protection/>
    </xf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2" applyNumberFormat="0" applyAlignment="0" applyProtection="0"/>
    <xf numFmtId="0" fontId="46" fillId="28" borderId="3" applyNumberFormat="0" applyAlignment="0" applyProtection="0"/>
    <xf numFmtId="0" fontId="47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9" borderId="8" applyNumberFormat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3" borderId="0" applyNumberFormat="0" applyBorder="0" applyAlignment="0" applyProtection="0"/>
  </cellStyleXfs>
  <cellXfs count="314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41" fontId="0" fillId="0" borderId="0" xfId="61" applyFont="1" applyFill="1" applyAlignment="1">
      <alignment horizontal="right" wrapText="1"/>
    </xf>
    <xf numFmtId="41" fontId="0" fillId="0" borderId="0" xfId="61" applyFont="1" applyFill="1" applyAlignment="1">
      <alignment horizontal="center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41" fontId="0" fillId="0" borderId="0" xfId="61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" fontId="0" fillId="0" borderId="11" xfId="61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right" wrapText="1"/>
    </xf>
    <xf numFmtId="41" fontId="0" fillId="0" borderId="11" xfId="61" applyFont="1" applyFill="1" applyBorder="1" applyAlignment="1">
      <alignment wrapText="1"/>
    </xf>
    <xf numFmtId="0" fontId="0" fillId="0" borderId="12" xfId="0" applyFill="1" applyBorder="1" applyAlignment="1">
      <alignment horizontal="center" vertical="center" wrapText="1"/>
    </xf>
    <xf numFmtId="1" fontId="0" fillId="0" borderId="13" xfId="61" applyNumberFormat="1" applyFont="1" applyFill="1" applyBorder="1" applyAlignment="1">
      <alignment horizontal="center" wrapText="1"/>
    </xf>
    <xf numFmtId="41" fontId="0" fillId="0" borderId="13" xfId="61" applyFont="1" applyFill="1" applyBorder="1" applyAlignment="1">
      <alignment horizontal="right" wrapText="1"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>
      <alignment horizontal="left" wrapText="1"/>
    </xf>
    <xf numFmtId="0" fontId="3" fillId="0" borderId="12" xfId="0" applyFont="1" applyFill="1" applyBorder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41" fontId="6" fillId="0" borderId="0" xfId="61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12" xfId="0" applyFont="1" applyFill="1" applyBorder="1" applyAlignment="1">
      <alignment horizontal="right" wrapText="1"/>
    </xf>
    <xf numFmtId="0" fontId="5" fillId="0" borderId="0" xfId="0" applyFont="1" applyFill="1" applyAlignment="1">
      <alignment horizontal="center" vertical="center" wrapText="1"/>
    </xf>
    <xf numFmtId="2" fontId="0" fillId="0" borderId="11" xfId="0" applyNumberFormat="1" applyFill="1" applyBorder="1" applyAlignment="1">
      <alignment horizontal="right" wrapText="1"/>
    </xf>
    <xf numFmtId="2" fontId="0" fillId="0" borderId="11" xfId="0" applyNumberFormat="1" applyFill="1" applyBorder="1" applyAlignment="1">
      <alignment wrapText="1"/>
    </xf>
    <xf numFmtId="2" fontId="0" fillId="0" borderId="11" xfId="57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wrapText="1"/>
    </xf>
    <xf numFmtId="1" fontId="0" fillId="0" borderId="11" xfId="0" applyNumberFormat="1" applyFill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wrapText="1"/>
    </xf>
    <xf numFmtId="41" fontId="5" fillId="0" borderId="15" xfId="61" applyFont="1" applyFill="1" applyBorder="1" applyAlignment="1">
      <alignment horizontal="center" vertical="center" wrapText="1"/>
    </xf>
    <xf numFmtId="1" fontId="0" fillId="0" borderId="16" xfId="61" applyNumberFormat="1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wrapText="1"/>
    </xf>
    <xf numFmtId="41" fontId="5" fillId="0" borderId="18" xfId="6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1" fontId="10" fillId="0" borderId="0" xfId="61" applyFont="1" applyFill="1" applyAlignment="1">
      <alignment/>
    </xf>
    <xf numFmtId="0" fontId="10" fillId="0" borderId="12" xfId="0" applyFont="1" applyFill="1" applyBorder="1" applyAlignment="1">
      <alignment wrapText="1"/>
    </xf>
    <xf numFmtId="2" fontId="10" fillId="0" borderId="13" xfId="6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horizontal="right" wrapText="1"/>
    </xf>
    <xf numFmtId="2" fontId="1" fillId="0" borderId="11" xfId="0" applyNumberFormat="1" applyFont="1" applyFill="1" applyBorder="1" applyAlignment="1">
      <alignment horizontal="right" wrapText="1"/>
    </xf>
    <xf numFmtId="2" fontId="2" fillId="0" borderId="11" xfId="61" applyNumberFormat="1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2" fontId="10" fillId="0" borderId="11" xfId="0" applyNumberFormat="1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2" fontId="9" fillId="0" borderId="0" xfId="61" applyNumberFormat="1" applyFont="1" applyFill="1" applyAlignment="1">
      <alignment wrapText="1"/>
    </xf>
    <xf numFmtId="2" fontId="9" fillId="0" borderId="0" xfId="0" applyNumberFormat="1" applyFont="1" applyFill="1" applyAlignment="1">
      <alignment wrapText="1"/>
    </xf>
    <xf numFmtId="2" fontId="9" fillId="0" borderId="0" xfId="61" applyNumberFormat="1" applyFont="1" applyFill="1" applyAlignment="1">
      <alignment horizontal="right" wrapText="1"/>
    </xf>
    <xf numFmtId="0" fontId="0" fillId="0" borderId="12" xfId="0" applyFont="1" applyFill="1" applyBorder="1" applyAlignment="1">
      <alignment horizontal="center" vertical="center" wrapText="1"/>
    </xf>
    <xf numFmtId="1" fontId="0" fillId="0" borderId="11" xfId="61" applyNumberFormat="1" applyFont="1" applyFill="1" applyBorder="1" applyAlignment="1">
      <alignment horizontal="center" wrapText="1"/>
    </xf>
    <xf numFmtId="1" fontId="0" fillId="0" borderId="11" xfId="0" applyNumberFormat="1" applyFont="1" applyFill="1" applyBorder="1" applyAlignment="1">
      <alignment horizontal="center" wrapText="1"/>
    </xf>
    <xf numFmtId="1" fontId="0" fillId="0" borderId="13" xfId="61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41" fontId="0" fillId="0" borderId="11" xfId="61" applyFont="1" applyFill="1" applyBorder="1" applyAlignment="1">
      <alignment wrapText="1"/>
    </xf>
    <xf numFmtId="41" fontId="0" fillId="0" borderId="13" xfId="6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0" fontId="4" fillId="0" borderId="12" xfId="0" applyFont="1" applyFill="1" applyBorder="1" applyAlignment="1">
      <alignment wrapText="1"/>
    </xf>
    <xf numFmtId="41" fontId="4" fillId="0" borderId="11" xfId="61" applyFont="1" applyFill="1" applyBorder="1" applyAlignment="1">
      <alignment horizontal="right" wrapText="1"/>
    </xf>
    <xf numFmtId="2" fontId="4" fillId="0" borderId="11" xfId="57" applyNumberFormat="1" applyFont="1" applyFill="1" applyBorder="1" applyAlignment="1">
      <alignment wrapText="1"/>
    </xf>
    <xf numFmtId="165" fontId="4" fillId="0" borderId="13" xfId="6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left"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0" fontId="11" fillId="0" borderId="12" xfId="0" applyFont="1" applyFill="1" applyBorder="1" applyAlignment="1">
      <alignment wrapText="1"/>
    </xf>
    <xf numFmtId="2" fontId="0" fillId="0" borderId="11" xfId="61" applyNumberFormat="1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2" fontId="0" fillId="0" borderId="20" xfId="61" applyNumberFormat="1" applyFont="1" applyFill="1" applyBorder="1" applyAlignment="1">
      <alignment horizontal="right" wrapText="1"/>
    </xf>
    <xf numFmtId="0" fontId="0" fillId="0" borderId="11" xfId="0" applyFill="1" applyBorder="1" applyAlignment="1">
      <alignment horizontal="center" vertical="center" wrapText="1"/>
    </xf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2" fontId="0" fillId="0" borderId="22" xfId="61" applyNumberFormat="1" applyFont="1" applyFill="1" applyBorder="1" applyAlignment="1">
      <alignment horizontal="right" wrapText="1"/>
    </xf>
    <xf numFmtId="2" fontId="0" fillId="0" borderId="16" xfId="57" applyNumberFormat="1" applyFont="1" applyFill="1" applyBorder="1" applyAlignment="1">
      <alignment wrapText="1"/>
    </xf>
    <xf numFmtId="2" fontId="0" fillId="0" borderId="23" xfId="61" applyNumberFormat="1" applyFont="1" applyFill="1" applyBorder="1" applyAlignment="1">
      <alignment horizontal="right" wrapText="1"/>
    </xf>
    <xf numFmtId="0" fontId="9" fillId="0" borderId="0" xfId="0" applyFont="1" applyFill="1" applyAlignment="1">
      <alignment wrapText="1"/>
    </xf>
    <xf numFmtId="2" fontId="9" fillId="0" borderId="0" xfId="61" applyNumberFormat="1" applyFont="1" applyFill="1" applyAlignment="1">
      <alignment wrapText="1"/>
    </xf>
    <xf numFmtId="2" fontId="9" fillId="0" borderId="0" xfId="0" applyNumberFormat="1" applyFont="1" applyFill="1" applyAlignment="1">
      <alignment wrapText="1"/>
    </xf>
    <xf numFmtId="2" fontId="9" fillId="0" borderId="0" xfId="61" applyNumberFormat="1" applyFont="1" applyFill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11" fillId="0" borderId="12" xfId="0" applyFont="1" applyFill="1" applyBorder="1" applyAlignment="1">
      <alignment wrapText="1"/>
    </xf>
    <xf numFmtId="2" fontId="11" fillId="0" borderId="11" xfId="0" applyNumberFormat="1" applyFont="1" applyFill="1" applyBorder="1" applyAlignment="1">
      <alignment wrapText="1"/>
    </xf>
    <xf numFmtId="0" fontId="0" fillId="0" borderId="19" xfId="0" applyFont="1" applyFill="1" applyBorder="1" applyAlignment="1">
      <alignment horizontal="left" wrapText="1"/>
    </xf>
    <xf numFmtId="2" fontId="0" fillId="0" borderId="20" xfId="0" applyNumberFormat="1" applyFont="1" applyFill="1" applyBorder="1" applyAlignment="1">
      <alignment wrapText="1"/>
    </xf>
    <xf numFmtId="2" fontId="0" fillId="0" borderId="20" xfId="57" applyNumberFormat="1" applyFont="1" applyFill="1" applyBorder="1" applyAlignment="1">
      <alignment wrapText="1"/>
    </xf>
    <xf numFmtId="2" fontId="0" fillId="0" borderId="24" xfId="61" applyNumberFormat="1" applyFont="1" applyFill="1" applyBorder="1" applyAlignment="1">
      <alignment horizontal="right" wrapText="1"/>
    </xf>
    <xf numFmtId="0" fontId="0" fillId="0" borderId="25" xfId="0" applyFont="1" applyFill="1" applyBorder="1" applyAlignment="1">
      <alignment horizontal="left" wrapText="1"/>
    </xf>
    <xf numFmtId="2" fontId="0" fillId="0" borderId="26" xfId="57" applyNumberFormat="1" applyFont="1" applyFill="1" applyBorder="1" applyAlignment="1">
      <alignment wrapText="1"/>
    </xf>
    <xf numFmtId="2" fontId="0" fillId="0" borderId="27" xfId="61" applyNumberFormat="1" applyFont="1" applyFill="1" applyBorder="1" applyAlignment="1">
      <alignment horizontal="right" wrapText="1"/>
    </xf>
    <xf numFmtId="2" fontId="0" fillId="0" borderId="20" xfId="61" applyNumberFormat="1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2" fontId="0" fillId="0" borderId="16" xfId="0" applyNumberFormat="1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2" fontId="0" fillId="0" borderId="26" xfId="0" applyNumberFormat="1" applyFont="1" applyFill="1" applyBorder="1" applyAlignment="1">
      <alignment wrapText="1"/>
    </xf>
    <xf numFmtId="2" fontId="0" fillId="0" borderId="22" xfId="0" applyNumberFormat="1" applyFont="1" applyFill="1" applyBorder="1" applyAlignment="1">
      <alignment wrapText="1"/>
    </xf>
    <xf numFmtId="2" fontId="0" fillId="0" borderId="22" xfId="61" applyNumberFormat="1" applyFont="1" applyFill="1" applyBorder="1" applyAlignment="1">
      <alignment wrapText="1"/>
    </xf>
    <xf numFmtId="2" fontId="0" fillId="0" borderId="22" xfId="57" applyNumberFormat="1" applyFont="1" applyFill="1" applyBorder="1" applyAlignment="1">
      <alignment wrapText="1"/>
    </xf>
    <xf numFmtId="2" fontId="0" fillId="0" borderId="29" xfId="61" applyNumberFormat="1" applyFont="1" applyFill="1" applyBorder="1" applyAlignment="1">
      <alignment horizontal="right" wrapText="1"/>
    </xf>
    <xf numFmtId="2" fontId="0" fillId="0" borderId="16" xfId="61" applyNumberFormat="1" applyFont="1" applyFill="1" applyBorder="1" applyAlignment="1">
      <alignment horizontal="right" wrapText="1"/>
    </xf>
    <xf numFmtId="0" fontId="0" fillId="0" borderId="19" xfId="0" applyFill="1" applyBorder="1" applyAlignment="1">
      <alignment wrapText="1"/>
    </xf>
    <xf numFmtId="0" fontId="7" fillId="0" borderId="19" xfId="0" applyFont="1" applyFill="1" applyBorder="1" applyAlignment="1">
      <alignment horizontal="right" wrapText="1"/>
    </xf>
    <xf numFmtId="2" fontId="1" fillId="0" borderId="20" xfId="0" applyNumberFormat="1" applyFont="1" applyFill="1" applyBorder="1" applyAlignment="1">
      <alignment horizontal="right" wrapText="1"/>
    </xf>
    <xf numFmtId="2" fontId="2" fillId="0" borderId="20" xfId="61" applyNumberFormat="1" applyFont="1" applyFill="1" applyBorder="1" applyAlignment="1">
      <alignment wrapText="1"/>
    </xf>
    <xf numFmtId="0" fontId="13" fillId="0" borderId="12" xfId="0" applyFont="1" applyFill="1" applyBorder="1" applyAlignment="1">
      <alignment wrapText="1"/>
    </xf>
    <xf numFmtId="2" fontId="13" fillId="0" borderId="11" xfId="57" applyNumberFormat="1" applyFont="1" applyFill="1" applyBorder="1" applyAlignment="1">
      <alignment wrapText="1"/>
    </xf>
    <xf numFmtId="2" fontId="13" fillId="0" borderId="13" xfId="61" applyNumberFormat="1" applyFont="1" applyFill="1" applyBorder="1" applyAlignment="1">
      <alignment horizontal="right" wrapText="1"/>
    </xf>
    <xf numFmtId="2" fontId="0" fillId="0" borderId="20" xfId="57" applyNumberFormat="1" applyFont="1" applyFill="1" applyBorder="1" applyAlignment="1">
      <alignment wrapText="1"/>
    </xf>
    <xf numFmtId="2" fontId="0" fillId="0" borderId="24" xfId="61" applyNumberFormat="1" applyFont="1" applyFill="1" applyBorder="1" applyAlignment="1">
      <alignment horizontal="right" wrapText="1"/>
    </xf>
    <xf numFmtId="2" fontId="0" fillId="0" borderId="20" xfId="0" applyNumberFormat="1" applyFill="1" applyBorder="1" applyAlignment="1">
      <alignment wrapText="1"/>
    </xf>
    <xf numFmtId="2" fontId="0" fillId="0" borderId="20" xfId="61" applyNumberFormat="1" applyFont="1" applyFill="1" applyBorder="1" applyAlignment="1">
      <alignment horizontal="right" wrapText="1"/>
    </xf>
    <xf numFmtId="2" fontId="0" fillId="0" borderId="20" xfId="61" applyNumberFormat="1" applyFont="1" applyFill="1" applyBorder="1" applyAlignment="1">
      <alignment wrapText="1"/>
    </xf>
    <xf numFmtId="0" fontId="0" fillId="0" borderId="25" xfId="0" applyFill="1" applyBorder="1" applyAlignment="1">
      <alignment wrapText="1"/>
    </xf>
    <xf numFmtId="2" fontId="0" fillId="0" borderId="16" xfId="0" applyNumberFormat="1" applyFill="1" applyBorder="1" applyAlignment="1">
      <alignment wrapText="1"/>
    </xf>
    <xf numFmtId="2" fontId="0" fillId="0" borderId="16" xfId="57" applyNumberFormat="1" applyFont="1" applyFill="1" applyBorder="1" applyAlignment="1">
      <alignment wrapText="1"/>
    </xf>
    <xf numFmtId="2" fontId="0" fillId="0" borderId="23" xfId="61" applyNumberFormat="1" applyFont="1" applyFill="1" applyBorder="1" applyAlignment="1">
      <alignment horizontal="right" wrapText="1"/>
    </xf>
    <xf numFmtId="0" fontId="10" fillId="0" borderId="21" xfId="0" applyFont="1" applyFill="1" applyBorder="1" applyAlignment="1">
      <alignment wrapText="1"/>
    </xf>
    <xf numFmtId="2" fontId="0" fillId="0" borderId="22" xfId="0" applyNumberFormat="1" applyFill="1" applyBorder="1" applyAlignment="1">
      <alignment wrapText="1"/>
    </xf>
    <xf numFmtId="2" fontId="0" fillId="0" borderId="22" xfId="61" applyNumberFormat="1" applyFont="1" applyFill="1" applyBorder="1" applyAlignment="1">
      <alignment horizontal="right" wrapText="1"/>
    </xf>
    <xf numFmtId="2" fontId="0" fillId="0" borderId="22" xfId="57" applyNumberFormat="1" applyFont="1" applyFill="1" applyBorder="1" applyAlignment="1">
      <alignment wrapText="1"/>
    </xf>
    <xf numFmtId="2" fontId="0" fillId="0" borderId="29" xfId="61" applyNumberFormat="1" applyFont="1" applyFill="1" applyBorder="1" applyAlignment="1">
      <alignment horizontal="right" wrapText="1"/>
    </xf>
    <xf numFmtId="2" fontId="0" fillId="0" borderId="16" xfId="61" applyNumberFormat="1" applyFont="1" applyFill="1" applyBorder="1" applyAlignment="1">
      <alignment horizontal="right" wrapText="1"/>
    </xf>
    <xf numFmtId="0" fontId="0" fillId="0" borderId="21" xfId="0" applyFill="1" applyBorder="1" applyAlignment="1">
      <alignment wrapText="1"/>
    </xf>
    <xf numFmtId="2" fontId="0" fillId="0" borderId="22" xfId="61" applyNumberFormat="1" applyFont="1" applyFill="1" applyBorder="1" applyAlignment="1">
      <alignment wrapText="1"/>
    </xf>
    <xf numFmtId="0" fontId="0" fillId="0" borderId="28" xfId="0" applyFill="1" applyBorder="1" applyAlignment="1">
      <alignment wrapText="1"/>
    </xf>
    <xf numFmtId="2" fontId="0" fillId="0" borderId="26" xfId="0" applyNumberFormat="1" applyFill="1" applyBorder="1" applyAlignment="1">
      <alignment wrapText="1"/>
    </xf>
    <xf numFmtId="2" fontId="0" fillId="0" borderId="26" xfId="57" applyNumberFormat="1" applyFont="1" applyFill="1" applyBorder="1" applyAlignment="1">
      <alignment wrapText="1"/>
    </xf>
    <xf numFmtId="2" fontId="0" fillId="0" borderId="27" xfId="61" applyNumberFormat="1" applyFont="1" applyFill="1" applyBorder="1" applyAlignment="1">
      <alignment horizontal="right" wrapText="1"/>
    </xf>
    <xf numFmtId="0" fontId="3" fillId="0" borderId="28" xfId="0" applyFont="1" applyFill="1" applyBorder="1" applyAlignment="1">
      <alignment wrapText="1"/>
    </xf>
    <xf numFmtId="0" fontId="13" fillId="0" borderId="12" xfId="0" applyFont="1" applyFill="1" applyBorder="1" applyAlignment="1">
      <alignment wrapText="1"/>
    </xf>
    <xf numFmtId="2" fontId="13" fillId="0" borderId="11" xfId="0" applyNumberFormat="1" applyFont="1" applyFill="1" applyBorder="1" applyAlignment="1">
      <alignment wrapText="1"/>
    </xf>
    <xf numFmtId="2" fontId="13" fillId="0" borderId="11" xfId="57" applyNumberFormat="1" applyFont="1" applyFill="1" applyBorder="1" applyAlignment="1">
      <alignment wrapText="1"/>
    </xf>
    <xf numFmtId="2" fontId="13" fillId="0" borderId="13" xfId="61" applyNumberFormat="1" applyFont="1" applyFill="1" applyBorder="1" applyAlignment="1">
      <alignment horizontal="right" wrapText="1"/>
    </xf>
    <xf numFmtId="2" fontId="13" fillId="0" borderId="11" xfId="61" applyNumberFormat="1" applyFont="1" applyFill="1" applyBorder="1" applyAlignment="1">
      <alignment horizontal="right"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2" fontId="4" fillId="0" borderId="11" xfId="57" applyNumberFormat="1" applyFont="1" applyFill="1" applyBorder="1" applyAlignment="1">
      <alignment wrapText="1"/>
    </xf>
    <xf numFmtId="2" fontId="4" fillId="0" borderId="13" xfId="61" applyNumberFormat="1" applyFont="1" applyFill="1" applyBorder="1" applyAlignment="1">
      <alignment horizontal="right" wrapText="1"/>
    </xf>
    <xf numFmtId="0" fontId="13" fillId="0" borderId="12" xfId="0" applyFont="1" applyFill="1" applyBorder="1" applyAlignment="1">
      <alignment horizontal="left" wrapText="1"/>
    </xf>
    <xf numFmtId="0" fontId="0" fillId="0" borderId="30" xfId="0" applyFill="1" applyBorder="1" applyAlignment="1">
      <alignment wrapText="1"/>
    </xf>
    <xf numFmtId="2" fontId="0" fillId="0" borderId="31" xfId="57" applyNumberFormat="1" applyFont="1" applyFill="1" applyBorder="1" applyAlignment="1">
      <alignment wrapText="1"/>
    </xf>
    <xf numFmtId="2" fontId="0" fillId="0" borderId="32" xfId="61" applyNumberFormat="1" applyFont="1" applyFill="1" applyBorder="1" applyAlignment="1">
      <alignment horizontal="right" wrapText="1"/>
    </xf>
    <xf numFmtId="0" fontId="0" fillId="0" borderId="11" xfId="0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lef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2" fontId="0" fillId="0" borderId="11" xfId="0" applyNumberFormat="1" applyFont="1" applyFill="1" applyBorder="1" applyAlignment="1">
      <alignment horizontal="right" wrapText="1"/>
    </xf>
    <xf numFmtId="0" fontId="12" fillId="0" borderId="12" xfId="0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12" fillId="0" borderId="12" xfId="0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wrapText="1"/>
    </xf>
    <xf numFmtId="2" fontId="10" fillId="0" borderId="13" xfId="61" applyNumberFormat="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41" fontId="0" fillId="0" borderId="0" xfId="61" applyFont="1" applyFill="1" applyAlignment="1">
      <alignment wrapText="1"/>
    </xf>
    <xf numFmtId="41" fontId="0" fillId="0" borderId="0" xfId="61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wrapText="1"/>
    </xf>
    <xf numFmtId="2" fontId="0" fillId="0" borderId="26" xfId="0" applyNumberFormat="1" applyFont="1" applyFill="1" applyBorder="1" applyAlignment="1">
      <alignment horizontal="right" wrapText="1"/>
    </xf>
    <xf numFmtId="2" fontId="0" fillId="0" borderId="26" xfId="61" applyNumberFormat="1" applyFont="1" applyFill="1" applyBorder="1" applyAlignment="1">
      <alignment horizontal="right" wrapText="1"/>
    </xf>
    <xf numFmtId="2" fontId="0" fillId="0" borderId="26" xfId="0" applyNumberFormat="1" applyFill="1" applyBorder="1" applyAlignment="1">
      <alignment horizontal="right" wrapText="1"/>
    </xf>
    <xf numFmtId="2" fontId="0" fillId="0" borderId="31" xfId="0" applyNumberFormat="1" applyFill="1" applyBorder="1" applyAlignment="1">
      <alignment wrapText="1"/>
    </xf>
    <xf numFmtId="164" fontId="14" fillId="0" borderId="11" xfId="57" applyNumberFormat="1" applyFont="1" applyFill="1" applyBorder="1" applyAlignment="1">
      <alignment wrapText="1"/>
    </xf>
    <xf numFmtId="4" fontId="14" fillId="0" borderId="13" xfId="0" applyNumberFormat="1" applyFont="1" applyFill="1" applyBorder="1" applyAlignment="1">
      <alignment wrapText="1"/>
    </xf>
    <xf numFmtId="4" fontId="14" fillId="0" borderId="11" xfId="0" applyNumberFormat="1" applyFont="1" applyFill="1" applyBorder="1" applyAlignment="1">
      <alignment horizontal="right" wrapText="1"/>
    </xf>
    <xf numFmtId="2" fontId="4" fillId="0" borderId="16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2" fontId="4" fillId="0" borderId="11" xfId="61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2" fontId="0" fillId="0" borderId="33" xfId="61" applyNumberFormat="1" applyFont="1" applyFill="1" applyBorder="1" applyAlignment="1">
      <alignment horizontal="right" wrapText="1"/>
    </xf>
    <xf numFmtId="0" fontId="14" fillId="0" borderId="12" xfId="0" applyFont="1" applyFill="1" applyBorder="1" applyAlignment="1">
      <alignment wrapText="1"/>
    </xf>
    <xf numFmtId="0" fontId="14" fillId="0" borderId="19" xfId="0" applyFont="1" applyFill="1" applyBorder="1" applyAlignment="1">
      <alignment wrapText="1"/>
    </xf>
    <xf numFmtId="2" fontId="0" fillId="0" borderId="31" xfId="0" applyNumberFormat="1" applyFont="1" applyFill="1" applyBorder="1" applyAlignment="1">
      <alignment wrapText="1"/>
    </xf>
    <xf numFmtId="2" fontId="0" fillId="0" borderId="31" xfId="57" applyNumberFormat="1" applyFont="1" applyFill="1" applyBorder="1" applyAlignment="1">
      <alignment wrapText="1"/>
    </xf>
    <xf numFmtId="2" fontId="0" fillId="0" borderId="32" xfId="61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0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0" fillId="0" borderId="11" xfId="61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horizontal="right" vertical="center" shrinkToFit="1"/>
    </xf>
    <xf numFmtId="2" fontId="0" fillId="0" borderId="11" xfId="61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0" fillId="0" borderId="20" xfId="0" applyNumberFormat="1" applyFont="1" applyFill="1" applyBorder="1" applyAlignment="1">
      <alignment vertical="center" wrapText="1"/>
    </xf>
    <xf numFmtId="2" fontId="4" fillId="0" borderId="20" xfId="0" applyNumberFormat="1" applyFont="1" applyFill="1" applyBorder="1" applyAlignment="1">
      <alignment horizontal="right" vertical="center" wrapText="1"/>
    </xf>
    <xf numFmtId="2" fontId="4" fillId="0" borderId="11" xfId="0" applyNumberFormat="1" applyFont="1" applyFill="1" applyBorder="1" applyAlignment="1">
      <alignment horizontal="right" vertical="center" wrapText="1"/>
    </xf>
    <xf numFmtId="2" fontId="0" fillId="0" borderId="16" xfId="0" applyNumberFormat="1" applyFont="1" applyFill="1" applyBorder="1" applyAlignment="1">
      <alignment horizontal="right" vertical="center" wrapText="1"/>
    </xf>
    <xf numFmtId="2" fontId="0" fillId="0" borderId="16" xfId="0" applyNumberFormat="1" applyFont="1" applyFill="1" applyBorder="1" applyAlignment="1">
      <alignment horizontal="right" vertical="center" wrapText="1"/>
    </xf>
    <xf numFmtId="2" fontId="13" fillId="0" borderId="11" xfId="0" applyNumberFormat="1" applyFont="1" applyFill="1" applyBorder="1" applyAlignment="1">
      <alignment vertical="center" wrapText="1"/>
    </xf>
    <xf numFmtId="2" fontId="0" fillId="0" borderId="11" xfId="0" applyNumberForma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ill="1" applyBorder="1" applyAlignment="1">
      <alignment vertical="center" wrapText="1"/>
    </xf>
    <xf numFmtId="2" fontId="0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0" fillId="0" borderId="11" xfId="61" applyNumberFormat="1" applyFont="1" applyFill="1" applyBorder="1" applyAlignment="1">
      <alignment horizontal="right" vertical="center" wrapText="1"/>
    </xf>
    <xf numFmtId="2" fontId="10" fillId="0" borderId="11" xfId="0" applyNumberFormat="1" applyFont="1" applyFill="1" applyBorder="1" applyAlignment="1">
      <alignment vertical="center" wrapText="1"/>
    </xf>
    <xf numFmtId="2" fontId="4" fillId="0" borderId="16" xfId="0" applyNumberFormat="1" applyFont="1" applyFill="1" applyBorder="1" applyAlignment="1">
      <alignment horizontal="right" vertical="center" wrapText="1"/>
    </xf>
    <xf numFmtId="2" fontId="13" fillId="0" borderId="11" xfId="0" applyNumberFormat="1" applyFont="1" applyFill="1" applyBorder="1" applyAlignment="1">
      <alignment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10" fillId="0" borderId="11" xfId="0" applyNumberFormat="1" applyFont="1" applyFill="1" applyBorder="1" applyAlignment="1">
      <alignment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1" fillId="0" borderId="20" xfId="0" applyNumberFormat="1" applyFont="1" applyFill="1" applyBorder="1" applyAlignment="1">
      <alignment horizontal="right" vertical="center" wrapText="1"/>
    </xf>
    <xf numFmtId="2" fontId="2" fillId="0" borderId="20" xfId="61" applyNumberFormat="1" applyFont="1" applyFill="1" applyBorder="1" applyAlignment="1">
      <alignment vertical="center" wrapText="1"/>
    </xf>
    <xf numFmtId="2" fontId="13" fillId="0" borderId="11" xfId="61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4" fontId="16" fillId="0" borderId="1" xfId="34" applyFont="1" applyAlignment="1" applyProtection="1">
      <alignment horizontal="right" shrinkToFit="1"/>
      <protection/>
    </xf>
    <xf numFmtId="2" fontId="16" fillId="0" borderId="1" xfId="33" applyNumberFormat="1" applyFont="1" applyFill="1" applyAlignment="1" applyProtection="1">
      <alignment horizontal="right" vertical="center" shrinkToFit="1"/>
      <protection/>
    </xf>
    <xf numFmtId="4" fontId="16" fillId="0" borderId="1" xfId="33" applyFont="1" applyFill="1" applyAlignment="1" applyProtection="1">
      <alignment horizontal="right" vertical="center" shrinkToFit="1"/>
      <protection/>
    </xf>
    <xf numFmtId="4" fontId="16" fillId="0" borderId="1" xfId="33" applyFont="1" applyFill="1" applyProtection="1">
      <alignment horizontal="right" vertical="top" shrinkToFit="1"/>
      <protection/>
    </xf>
    <xf numFmtId="4" fontId="16" fillId="0" borderId="1" xfId="34" applyFont="1" applyFill="1" applyAlignment="1" applyProtection="1">
      <alignment horizontal="right" vertical="center" shrinkToFit="1"/>
      <protection/>
    </xf>
    <xf numFmtId="4" fontId="16" fillId="0" borderId="1" xfId="33" applyFont="1" applyFill="1" applyAlignment="1" applyProtection="1">
      <alignment horizontal="right" vertical="center" shrinkToFit="1"/>
      <protection/>
    </xf>
    <xf numFmtId="4" fontId="16" fillId="0" borderId="1" xfId="33" applyFont="1" applyFill="1" applyAlignment="1" applyProtection="1">
      <alignment horizontal="right" shrinkToFit="1"/>
      <protection/>
    </xf>
    <xf numFmtId="4" fontId="16" fillId="0" borderId="1" xfId="33" applyFont="1" applyFill="1" applyAlignment="1" applyProtection="1">
      <alignment horizontal="right" shrinkToFit="1"/>
      <protection/>
    </xf>
    <xf numFmtId="2" fontId="17" fillId="34" borderId="11" xfId="0" applyNumberFormat="1" applyFont="1" applyFill="1" applyBorder="1" applyAlignment="1">
      <alignment wrapText="1"/>
    </xf>
    <xf numFmtId="4" fontId="17" fillId="0" borderId="11" xfId="61" applyNumberFormat="1" applyFont="1" applyFill="1" applyBorder="1" applyAlignment="1">
      <alignment horizontal="right" wrapText="1"/>
    </xf>
    <xf numFmtId="2" fontId="16" fillId="0" borderId="1" xfId="33" applyNumberFormat="1" applyFont="1" applyFill="1" applyAlignment="1" applyProtection="1">
      <alignment horizontal="right" shrinkToFit="1"/>
      <protection/>
    </xf>
    <xf numFmtId="2" fontId="0" fillId="0" borderId="11" xfId="0" applyNumberFormat="1" applyFont="1" applyFill="1" applyBorder="1" applyAlignment="1">
      <alignment vertical="center" wrapText="1"/>
    </xf>
    <xf numFmtId="2" fontId="13" fillId="0" borderId="11" xfId="0" applyNumberFormat="1" applyFont="1" applyFill="1" applyBorder="1" applyAlignment="1">
      <alignment wrapText="1"/>
    </xf>
    <xf numFmtId="2" fontId="0" fillId="0" borderId="31" xfId="61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center" wrapText="1"/>
    </xf>
    <xf numFmtId="2" fontId="0" fillId="0" borderId="14" xfId="0" applyNumberFormat="1" applyFill="1" applyBorder="1" applyAlignment="1">
      <alignment wrapText="1"/>
    </xf>
    <xf numFmtId="2" fontId="0" fillId="0" borderId="14" xfId="0" applyNumberFormat="1" applyFont="1" applyFill="1" applyBorder="1" applyAlignment="1">
      <alignment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41" fontId="18" fillId="0" borderId="15" xfId="61" applyFont="1" applyFill="1" applyBorder="1" applyAlignment="1">
      <alignment horizontal="center" vertical="center" wrapText="1"/>
    </xf>
    <xf numFmtId="41" fontId="18" fillId="0" borderId="18" xfId="6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41" fontId="19" fillId="0" borderId="0" xfId="61" applyFont="1" applyFill="1" applyAlignment="1">
      <alignment/>
    </xf>
    <xf numFmtId="0" fontId="19" fillId="0" borderId="1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" fontId="19" fillId="0" borderId="11" xfId="61" applyNumberFormat="1" applyFont="1" applyFill="1" applyBorder="1" applyAlignment="1">
      <alignment horizontal="center" wrapText="1"/>
    </xf>
    <xf numFmtId="1" fontId="19" fillId="0" borderId="11" xfId="0" applyNumberFormat="1" applyFont="1" applyFill="1" applyBorder="1" applyAlignment="1">
      <alignment horizontal="center" wrapText="1"/>
    </xf>
    <xf numFmtId="1" fontId="19" fillId="0" borderId="13" xfId="61" applyNumberFormat="1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right" wrapText="1"/>
    </xf>
    <xf numFmtId="0" fontId="21" fillId="0" borderId="11" xfId="0" applyFont="1" applyFill="1" applyBorder="1" applyAlignment="1">
      <alignment horizontal="right" wrapText="1"/>
    </xf>
    <xf numFmtId="41" fontId="19" fillId="0" borderId="11" xfId="61" applyFont="1" applyFill="1" applyBorder="1" applyAlignment="1">
      <alignment wrapText="1"/>
    </xf>
    <xf numFmtId="2" fontId="19" fillId="0" borderId="11" xfId="0" applyNumberFormat="1" applyFont="1" applyFill="1" applyBorder="1" applyAlignment="1">
      <alignment wrapText="1"/>
    </xf>
    <xf numFmtId="41" fontId="19" fillId="0" borderId="13" xfId="61" applyFont="1" applyFill="1" applyBorder="1" applyAlignment="1">
      <alignment horizontal="right" wrapText="1"/>
    </xf>
    <xf numFmtId="0" fontId="19" fillId="0" borderId="12" xfId="0" applyFont="1" applyFill="1" applyBorder="1" applyAlignment="1">
      <alignment horizontal="left" wrapText="1"/>
    </xf>
    <xf numFmtId="4" fontId="19" fillId="0" borderId="11" xfId="0" applyNumberFormat="1" applyFont="1" applyFill="1" applyBorder="1" applyAlignment="1">
      <alignment horizontal="right" wrapText="1"/>
    </xf>
    <xf numFmtId="2" fontId="19" fillId="0" borderId="11" xfId="57" applyNumberFormat="1" applyFont="1" applyFill="1" applyBorder="1" applyAlignment="1">
      <alignment wrapText="1"/>
    </xf>
    <xf numFmtId="2" fontId="19" fillId="0" borderId="13" xfId="61" applyNumberFormat="1" applyFont="1" applyFill="1" applyBorder="1" applyAlignment="1">
      <alignment horizontal="right" wrapText="1"/>
    </xf>
    <xf numFmtId="0" fontId="19" fillId="0" borderId="12" xfId="0" applyFont="1" applyFill="1" applyBorder="1" applyAlignment="1">
      <alignment wrapText="1"/>
    </xf>
    <xf numFmtId="4" fontId="19" fillId="0" borderId="11" xfId="0" applyNumberFormat="1" applyFont="1" applyFill="1" applyBorder="1" applyAlignment="1">
      <alignment wrapText="1"/>
    </xf>
    <xf numFmtId="4" fontId="19" fillId="0" borderId="11" xfId="61" applyNumberFormat="1" applyFont="1" applyFill="1" applyBorder="1" applyAlignment="1">
      <alignment horizontal="right" wrapText="1"/>
    </xf>
    <xf numFmtId="0" fontId="18" fillId="0" borderId="12" xfId="0" applyFont="1" applyFill="1" applyBorder="1" applyAlignment="1">
      <alignment wrapText="1"/>
    </xf>
    <xf numFmtId="4" fontId="18" fillId="0" borderId="11" xfId="0" applyNumberFormat="1" applyFont="1" applyFill="1" applyBorder="1" applyAlignment="1">
      <alignment horizontal="right" wrapText="1"/>
    </xf>
    <xf numFmtId="2" fontId="18" fillId="0" borderId="11" xfId="57" applyNumberFormat="1" applyFont="1" applyFill="1" applyBorder="1" applyAlignment="1">
      <alignment wrapText="1"/>
    </xf>
    <xf numFmtId="2" fontId="18" fillId="0" borderId="13" xfId="61" applyNumberFormat="1" applyFont="1" applyFill="1" applyBorder="1" applyAlignment="1">
      <alignment horizontal="right" wrapText="1"/>
    </xf>
    <xf numFmtId="0" fontId="18" fillId="0" borderId="12" xfId="0" applyFont="1" applyFill="1" applyBorder="1" applyAlignment="1">
      <alignment horizontal="center" wrapText="1"/>
    </xf>
    <xf numFmtId="4" fontId="19" fillId="34" borderId="11" xfId="0" applyNumberFormat="1" applyFont="1" applyFill="1" applyBorder="1" applyAlignment="1">
      <alignment wrapText="1"/>
    </xf>
    <xf numFmtId="164" fontId="19" fillId="0" borderId="11" xfId="57" applyNumberFormat="1" applyFont="1" applyFill="1" applyBorder="1" applyAlignment="1">
      <alignment wrapText="1"/>
    </xf>
    <xf numFmtId="4" fontId="19" fillId="0" borderId="13" xfId="0" applyNumberFormat="1" applyFont="1" applyFill="1" applyBorder="1" applyAlignment="1">
      <alignment wrapText="1"/>
    </xf>
    <xf numFmtId="0" fontId="22" fillId="0" borderId="12" xfId="0" applyFont="1" applyFill="1" applyBorder="1" applyAlignment="1">
      <alignment wrapText="1"/>
    </xf>
    <xf numFmtId="4" fontId="22" fillId="0" borderId="11" xfId="0" applyNumberFormat="1" applyFont="1" applyFill="1" applyBorder="1" applyAlignment="1">
      <alignment wrapText="1"/>
    </xf>
    <xf numFmtId="2" fontId="22" fillId="0" borderId="11" xfId="57" applyNumberFormat="1" applyFont="1" applyFill="1" applyBorder="1" applyAlignment="1">
      <alignment wrapText="1"/>
    </xf>
    <xf numFmtId="2" fontId="22" fillId="0" borderId="13" xfId="61" applyNumberFormat="1" applyFont="1" applyFill="1" applyBorder="1" applyAlignment="1">
      <alignment horizontal="right" wrapText="1"/>
    </xf>
    <xf numFmtId="0" fontId="23" fillId="0" borderId="12" xfId="0" applyFont="1" applyFill="1" applyBorder="1" applyAlignment="1">
      <alignment horizontal="right" wrapText="1"/>
    </xf>
    <xf numFmtId="4" fontId="21" fillId="0" borderId="11" xfId="0" applyNumberFormat="1" applyFont="1" applyFill="1" applyBorder="1" applyAlignment="1">
      <alignment horizontal="right" wrapText="1"/>
    </xf>
    <xf numFmtId="4" fontId="24" fillId="0" borderId="11" xfId="61" applyNumberFormat="1" applyFont="1" applyFill="1" applyBorder="1" applyAlignment="1">
      <alignment wrapText="1"/>
    </xf>
    <xf numFmtId="0" fontId="19" fillId="0" borderId="19" xfId="0" applyFont="1" applyFill="1" applyBorder="1" applyAlignment="1">
      <alignment wrapText="1"/>
    </xf>
    <xf numFmtId="0" fontId="25" fillId="0" borderId="21" xfId="0" applyFont="1" applyFill="1" applyBorder="1" applyAlignment="1">
      <alignment wrapText="1"/>
    </xf>
    <xf numFmtId="0" fontId="19" fillId="0" borderId="21" xfId="0" applyFont="1" applyFill="1" applyBorder="1" applyAlignment="1">
      <alignment wrapText="1"/>
    </xf>
    <xf numFmtId="0" fontId="25" fillId="0" borderId="11" xfId="0" applyFont="1" applyFill="1" applyBorder="1" applyAlignment="1">
      <alignment wrapText="1"/>
    </xf>
    <xf numFmtId="0" fontId="19" fillId="0" borderId="11" xfId="0" applyFont="1" applyFill="1" applyBorder="1" applyAlignment="1">
      <alignment wrapText="1"/>
    </xf>
    <xf numFmtId="0" fontId="25" fillId="0" borderId="25" xfId="0" applyFont="1" applyFill="1" applyBorder="1" applyAlignment="1">
      <alignment wrapText="1"/>
    </xf>
    <xf numFmtId="41" fontId="0" fillId="0" borderId="11" xfId="61" applyFill="1" applyBorder="1" applyAlignment="1">
      <alignment wrapText="1"/>
    </xf>
    <xf numFmtId="41" fontId="0" fillId="0" borderId="11" xfId="61" applyFill="1" applyBorder="1" applyAlignment="1">
      <alignment horizontal="right" wrapText="1"/>
    </xf>
    <xf numFmtId="0" fontId="18" fillId="0" borderId="11" xfId="0" applyFont="1" applyFill="1" applyBorder="1" applyAlignment="1">
      <alignment wrapText="1"/>
    </xf>
    <xf numFmtId="4" fontId="18" fillId="0" borderId="11" xfId="0" applyNumberFormat="1" applyFont="1" applyFill="1" applyBorder="1" applyAlignment="1">
      <alignment wrapText="1"/>
    </xf>
    <xf numFmtId="2" fontId="18" fillId="0" borderId="11" xfId="61" applyNumberFormat="1" applyFont="1" applyFill="1" applyBorder="1" applyAlignment="1">
      <alignment wrapText="1"/>
    </xf>
    <xf numFmtId="41" fontId="18" fillId="0" borderId="11" xfId="61" applyFont="1" applyFill="1" applyBorder="1" applyAlignment="1">
      <alignment horizontal="right" wrapText="1"/>
    </xf>
    <xf numFmtId="2" fontId="0" fillId="0" borderId="34" xfId="0" applyNumberFormat="1" applyFont="1" applyFill="1" applyBorder="1" applyAlignment="1">
      <alignment wrapText="1"/>
    </xf>
    <xf numFmtId="2" fontId="0" fillId="0" borderId="35" xfId="61" applyNumberFormat="1" applyFont="1" applyFill="1" applyBorder="1" applyAlignment="1">
      <alignment horizontal="right" wrapText="1"/>
    </xf>
    <xf numFmtId="2" fontId="0" fillId="0" borderId="36" xfId="61" applyNumberFormat="1" applyFont="1" applyFill="1" applyBorder="1" applyAlignment="1">
      <alignment horizontal="right" wrapText="1"/>
    </xf>
    <xf numFmtId="2" fontId="0" fillId="0" borderId="37" xfId="61" applyNumberFormat="1" applyFont="1" applyFill="1" applyBorder="1" applyAlignment="1">
      <alignment horizontal="right" wrapText="1"/>
    </xf>
    <xf numFmtId="2" fontId="0" fillId="0" borderId="0" xfId="61" applyNumberFormat="1" applyFont="1" applyFill="1" applyBorder="1" applyAlignment="1">
      <alignment horizontal="right" vertical="center" wrapText="1"/>
    </xf>
    <xf numFmtId="2" fontId="9" fillId="0" borderId="0" xfId="0" applyNumberFormat="1" applyFont="1" applyFill="1" applyAlignment="1">
      <alignment horizontal="center" wrapText="1"/>
    </xf>
    <xf numFmtId="41" fontId="5" fillId="0" borderId="0" xfId="61" applyFont="1" applyFill="1" applyAlignment="1">
      <alignment horizontal="center"/>
    </xf>
    <xf numFmtId="41" fontId="6" fillId="0" borderId="0" xfId="61" applyFont="1" applyFill="1" applyAlignment="1">
      <alignment horizontal="center"/>
    </xf>
    <xf numFmtId="2" fontId="9" fillId="0" borderId="0" xfId="61" applyNumberFormat="1" applyFont="1" applyFill="1" applyAlignment="1">
      <alignment horizontal="center" wrapText="1"/>
    </xf>
    <xf numFmtId="41" fontId="18" fillId="0" borderId="0" xfId="6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2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7"/>
  <sheetViews>
    <sheetView zoomScaleSheetLayoutView="100" workbookViewId="0" topLeftCell="A14">
      <selection activeCell="B33" sqref="B33"/>
    </sheetView>
  </sheetViews>
  <sheetFormatPr defaultColWidth="9.125" defaultRowHeight="12.75"/>
  <cols>
    <col min="1" max="1" width="116.375" style="4" customWidth="1"/>
    <col min="2" max="2" width="12.50390625" style="4" customWidth="1"/>
    <col min="3" max="3" width="16.875" style="5" customWidth="1"/>
    <col min="4" max="4" width="13.50390625" style="4" customWidth="1"/>
    <col min="5" max="5" width="14.50390625" style="1" customWidth="1"/>
    <col min="6" max="6" width="14.00390625" style="4" customWidth="1"/>
    <col min="7" max="9" width="9.125" style="4" customWidth="1"/>
    <col min="10" max="10" width="2.125" style="4" customWidth="1"/>
    <col min="11" max="16384" width="9.125" style="4" customWidth="1"/>
  </cols>
  <sheetData>
    <row r="1" spans="1:10" s="21" customFormat="1" ht="17.25">
      <c r="A1" s="310" t="s">
        <v>311</v>
      </c>
      <c r="B1" s="310"/>
      <c r="C1" s="310"/>
      <c r="D1" s="310"/>
      <c r="E1" s="310"/>
      <c r="F1" s="20"/>
      <c r="G1" s="20"/>
      <c r="H1" s="20"/>
      <c r="I1" s="20"/>
      <c r="J1" s="20"/>
    </row>
    <row r="2" spans="1:5" ht="13.5" thickBot="1">
      <c r="A2" s="37"/>
      <c r="B2" s="37"/>
      <c r="C2" s="38"/>
      <c r="D2" s="37"/>
      <c r="E2" s="37" t="s">
        <v>0</v>
      </c>
    </row>
    <row r="3" spans="1:5" s="23" customFormat="1" ht="94.5" customHeight="1">
      <c r="A3" s="34" t="s">
        <v>1</v>
      </c>
      <c r="B3" s="19" t="s">
        <v>251</v>
      </c>
      <c r="C3" s="32" t="s">
        <v>312</v>
      </c>
      <c r="D3" s="19" t="s">
        <v>252</v>
      </c>
      <c r="E3" s="36" t="s">
        <v>253</v>
      </c>
    </row>
    <row r="4" spans="1:5" s="56" customFormat="1" ht="10.5" customHeight="1">
      <c r="A4" s="52">
        <v>1</v>
      </c>
      <c r="B4" s="251">
        <v>2</v>
      </c>
      <c r="C4" s="53">
        <v>3</v>
      </c>
      <c r="D4" s="54">
        <v>4</v>
      </c>
      <c r="E4" s="55">
        <v>5</v>
      </c>
    </row>
    <row r="5" spans="1:5" s="59" customFormat="1" ht="12.75">
      <c r="A5" s="22" t="s">
        <v>2</v>
      </c>
      <c r="B5" s="11"/>
      <c r="C5" s="57"/>
      <c r="D5" s="31"/>
      <c r="E5" s="58"/>
    </row>
    <row r="6" spans="1:5" s="9" customFormat="1" ht="12.75" customHeight="1" hidden="1">
      <c r="A6" s="60" t="s">
        <v>25</v>
      </c>
      <c r="B6" s="61"/>
      <c r="C6" s="61" t="e">
        <f>SUM(C7,C11,C16,C19,#REF!,#REF!,C10,)</f>
        <v>#REF!</v>
      </c>
      <c r="D6" s="62" t="e">
        <f>IF(#REF!=0,"   ",C6/#REF!)</f>
        <v>#REF!</v>
      </c>
      <c r="E6" s="63" t="e">
        <f>C6-#REF!</f>
        <v>#REF!</v>
      </c>
    </row>
    <row r="7" spans="1:5" s="67" customFormat="1" ht="12.75">
      <c r="A7" s="64" t="s">
        <v>45</v>
      </c>
      <c r="B7" s="203">
        <f>SUM(B9)</f>
        <v>143600</v>
      </c>
      <c r="C7" s="203">
        <f>C9</f>
        <v>105754.79</v>
      </c>
      <c r="D7" s="65">
        <f>IF(B7=0,"   ",C7/B7*100)</f>
        <v>73.64539693593314</v>
      </c>
      <c r="E7" s="66">
        <f>C7-B7</f>
        <v>-37845.21000000001</v>
      </c>
    </row>
    <row r="8" spans="1:5" s="59" customFormat="1" ht="12.75" customHeight="1" hidden="1">
      <c r="A8" s="41" t="s">
        <v>3</v>
      </c>
      <c r="B8" s="204">
        <v>387940</v>
      </c>
      <c r="C8" s="205">
        <v>217766</v>
      </c>
      <c r="D8" s="65" t="e">
        <f>IF(#REF!=0,"   ",C8/#REF!)</f>
        <v>#REF!</v>
      </c>
      <c r="E8" s="66" t="e">
        <f>C8-#REF!</f>
        <v>#REF!</v>
      </c>
    </row>
    <row r="9" spans="1:5" s="59" customFormat="1" ht="12.75">
      <c r="A9" s="41" t="s">
        <v>112</v>
      </c>
      <c r="B9" s="204">
        <v>143600</v>
      </c>
      <c r="C9" s="238">
        <v>105754.79</v>
      </c>
      <c r="D9" s="65">
        <f>IF(B9=0,"   ",C9/B9*100)</f>
        <v>73.64539693593314</v>
      </c>
      <c r="E9" s="66">
        <f>C9-B9</f>
        <v>-37845.21000000001</v>
      </c>
    </row>
    <row r="10" spans="1:5" s="59" customFormat="1" ht="12.75" customHeight="1" hidden="1">
      <c r="A10" s="41" t="s">
        <v>24</v>
      </c>
      <c r="B10" s="204"/>
      <c r="C10" s="205">
        <v>175</v>
      </c>
      <c r="D10" s="65"/>
      <c r="E10" s="66"/>
    </row>
    <row r="11" spans="1:5" s="67" customFormat="1" ht="12.75" customHeight="1" hidden="1">
      <c r="A11" s="41" t="s">
        <v>4</v>
      </c>
      <c r="B11" s="204">
        <f>SUM(B12:B13)</f>
        <v>1848003</v>
      </c>
      <c r="C11" s="204">
        <f>SUM(C12:C13)</f>
        <v>1704024</v>
      </c>
      <c r="D11" s="65" t="e">
        <f>IF(#REF!=0,"   ",C11/#REF!)</f>
        <v>#REF!</v>
      </c>
      <c r="E11" s="66" t="e">
        <f>C11-#REF!</f>
        <v>#REF!</v>
      </c>
    </row>
    <row r="12" spans="1:5" s="59" customFormat="1" ht="12.75" customHeight="1" hidden="1">
      <c r="A12" s="41" t="s">
        <v>5</v>
      </c>
      <c r="B12" s="204">
        <v>17853</v>
      </c>
      <c r="C12" s="205">
        <v>13730</v>
      </c>
      <c r="D12" s="65" t="e">
        <f>IF(#REF!=0,"   ",C12/#REF!)</f>
        <v>#REF!</v>
      </c>
      <c r="E12" s="66" t="e">
        <f>C12-#REF!</f>
        <v>#REF!</v>
      </c>
    </row>
    <row r="13" spans="1:5" s="59" customFormat="1" ht="12.75" customHeight="1" hidden="1">
      <c r="A13" s="41" t="s">
        <v>6</v>
      </c>
      <c r="B13" s="204">
        <v>1830150</v>
      </c>
      <c r="C13" s="205">
        <v>1690294</v>
      </c>
      <c r="D13" s="65" t="e">
        <f>IF(#REF!=0,"   ",C13/#REF!)</f>
        <v>#REF!</v>
      </c>
      <c r="E13" s="66" t="e">
        <f>C13-#REF!</f>
        <v>#REF!</v>
      </c>
    </row>
    <row r="14" spans="1:5" s="59" customFormat="1" ht="12.75" customHeight="1">
      <c r="A14" s="64" t="s">
        <v>137</v>
      </c>
      <c r="B14" s="203">
        <f>SUM(B15)</f>
        <v>597200</v>
      </c>
      <c r="C14" s="203">
        <f>SUM(C15)</f>
        <v>472467.56</v>
      </c>
      <c r="D14" s="65">
        <f>IF(B14=0,"   ",C14/B14*100)</f>
        <v>79.11379102478232</v>
      </c>
      <c r="E14" s="66">
        <f>C14-B14</f>
        <v>-124732.44</v>
      </c>
    </row>
    <row r="15" spans="1:5" s="59" customFormat="1" ht="15.75" customHeight="1">
      <c r="A15" s="41" t="s">
        <v>138</v>
      </c>
      <c r="B15" s="204">
        <v>597200</v>
      </c>
      <c r="C15" s="238">
        <v>472467.56</v>
      </c>
      <c r="D15" s="65">
        <f>IF(B15=0,"   ",C15/B15*100)</f>
        <v>79.11379102478232</v>
      </c>
      <c r="E15" s="66">
        <f>C15-B15</f>
        <v>-124732.44</v>
      </c>
    </row>
    <row r="16" spans="1:5" s="67" customFormat="1" ht="17.25" customHeight="1">
      <c r="A16" s="41" t="s">
        <v>7</v>
      </c>
      <c r="B16" s="203">
        <f>SUM(B18)</f>
        <v>30900</v>
      </c>
      <c r="C16" s="204">
        <f>SUM(C18:C18)</f>
        <v>31223.82</v>
      </c>
      <c r="D16" s="65">
        <f>IF(B16=0,"   ",C16/B16*100)</f>
        <v>101.04796116504855</v>
      </c>
      <c r="E16" s="66">
        <f>C16-B16</f>
        <v>323.8199999999997</v>
      </c>
    </row>
    <row r="17" spans="1:5" s="59" customFormat="1" ht="12.75" customHeight="1" hidden="1">
      <c r="A17" s="41" t="s">
        <v>8</v>
      </c>
      <c r="B17" s="204">
        <v>103725</v>
      </c>
      <c r="C17" s="205">
        <v>92515</v>
      </c>
      <c r="D17" s="65" t="e">
        <f>IF(#REF!=0,"   ",C17/#REF!)</f>
        <v>#REF!</v>
      </c>
      <c r="E17" s="66" t="e">
        <f>C17-#REF!</f>
        <v>#REF!</v>
      </c>
    </row>
    <row r="18" spans="1:5" s="59" customFormat="1" ht="17.25" customHeight="1">
      <c r="A18" s="41" t="s">
        <v>113</v>
      </c>
      <c r="B18" s="204">
        <v>30900</v>
      </c>
      <c r="C18" s="238">
        <v>31223.82</v>
      </c>
      <c r="D18" s="65">
        <f aca="true" t="shared" si="0" ref="D18:D36">IF(B18=0,"   ",C18/B18*100)</f>
        <v>101.04796116504855</v>
      </c>
      <c r="E18" s="66">
        <f aca="true" t="shared" si="1" ref="E18:E36">C18-B18</f>
        <v>323.8199999999997</v>
      </c>
    </row>
    <row r="19" spans="1:5" s="59" customFormat="1" ht="18" customHeight="1">
      <c r="A19" s="41" t="s">
        <v>9</v>
      </c>
      <c r="B19" s="204">
        <f>SUM(B20:B21)</f>
        <v>764000</v>
      </c>
      <c r="C19" s="204">
        <f>SUM(C20:C21)</f>
        <v>383296.75</v>
      </c>
      <c r="D19" s="65">
        <f t="shared" si="0"/>
        <v>50.16973167539267</v>
      </c>
      <c r="E19" s="66">
        <f t="shared" si="1"/>
        <v>-380703.25</v>
      </c>
    </row>
    <row r="20" spans="1:5" s="59" customFormat="1" ht="12.75">
      <c r="A20" s="41" t="s">
        <v>114</v>
      </c>
      <c r="B20" s="204">
        <v>253000</v>
      </c>
      <c r="C20" s="238">
        <v>77952.59</v>
      </c>
      <c r="D20" s="65">
        <f t="shared" si="0"/>
        <v>30.811300395256914</v>
      </c>
      <c r="E20" s="66">
        <f t="shared" si="1"/>
        <v>-175047.41</v>
      </c>
    </row>
    <row r="21" spans="1:5" s="59" customFormat="1" ht="16.5" customHeight="1">
      <c r="A21" s="41" t="s">
        <v>160</v>
      </c>
      <c r="B21" s="204">
        <f>SUM(B22:B23)</f>
        <v>511000</v>
      </c>
      <c r="C21" s="204">
        <f>SUM(C22:C23)</f>
        <v>305344.16</v>
      </c>
      <c r="D21" s="65">
        <f t="shared" si="0"/>
        <v>59.75423874755381</v>
      </c>
      <c r="E21" s="66">
        <f t="shared" si="1"/>
        <v>-205655.84000000003</v>
      </c>
    </row>
    <row r="22" spans="1:5" s="59" customFormat="1" ht="12.75">
      <c r="A22" s="41" t="s">
        <v>161</v>
      </c>
      <c r="B22" s="204">
        <v>206000</v>
      </c>
      <c r="C22" s="238">
        <v>198439.55</v>
      </c>
      <c r="D22" s="65">
        <f t="shared" si="0"/>
        <v>96.32987864077668</v>
      </c>
      <c r="E22" s="66">
        <f t="shared" si="1"/>
        <v>-7560.450000000012</v>
      </c>
    </row>
    <row r="23" spans="1:5" s="59" customFormat="1" ht="12.75">
      <c r="A23" s="41" t="s">
        <v>162</v>
      </c>
      <c r="B23" s="204">
        <v>305000</v>
      </c>
      <c r="C23" s="238">
        <v>106904.61</v>
      </c>
      <c r="D23" s="65">
        <f t="shared" si="0"/>
        <v>35.05069180327869</v>
      </c>
      <c r="E23" s="66">
        <f t="shared" si="1"/>
        <v>-198095.39</v>
      </c>
    </row>
    <row r="24" spans="1:5" s="59" customFormat="1" ht="12.75">
      <c r="A24" s="41" t="s">
        <v>196</v>
      </c>
      <c r="B24" s="204">
        <v>2600</v>
      </c>
      <c r="C24" s="238">
        <v>2620</v>
      </c>
      <c r="D24" s="65">
        <f t="shared" si="0"/>
        <v>100.76923076923077</v>
      </c>
      <c r="E24" s="66">
        <f t="shared" si="1"/>
        <v>20</v>
      </c>
    </row>
    <row r="25" spans="1:5" s="59" customFormat="1" ht="19.5" customHeight="1">
      <c r="A25" s="41" t="s">
        <v>88</v>
      </c>
      <c r="B25" s="204">
        <v>0</v>
      </c>
      <c r="C25" s="204">
        <v>0</v>
      </c>
      <c r="D25" s="65" t="str">
        <f t="shared" si="0"/>
        <v>   </v>
      </c>
      <c r="E25" s="66">
        <f t="shared" si="1"/>
        <v>0</v>
      </c>
    </row>
    <row r="26" spans="1:5" s="59" customFormat="1" ht="24.75" customHeight="1">
      <c r="A26" s="41" t="s">
        <v>28</v>
      </c>
      <c r="B26" s="204">
        <f>SUM(B27:B30)</f>
        <v>405320</v>
      </c>
      <c r="C26" s="204">
        <f>SUM(C27:C30)</f>
        <v>331015.54000000004</v>
      </c>
      <c r="D26" s="65">
        <f t="shared" si="0"/>
        <v>81.66770452975427</v>
      </c>
      <c r="E26" s="66">
        <f t="shared" si="1"/>
        <v>-74304.45999999996</v>
      </c>
    </row>
    <row r="27" spans="1:5" s="59" customFormat="1" ht="12.75">
      <c r="A27" s="41" t="s">
        <v>152</v>
      </c>
      <c r="B27" s="204">
        <v>387120</v>
      </c>
      <c r="C27" s="238">
        <v>319715.26</v>
      </c>
      <c r="D27" s="65">
        <f t="shared" si="0"/>
        <v>82.58815354412069</v>
      </c>
      <c r="E27" s="66">
        <f t="shared" si="1"/>
        <v>-67404.73999999999</v>
      </c>
    </row>
    <row r="28" spans="1:5" s="59" customFormat="1" ht="15.75" customHeight="1">
      <c r="A28" s="41" t="s">
        <v>30</v>
      </c>
      <c r="B28" s="204">
        <v>8500</v>
      </c>
      <c r="C28" s="205">
        <v>8501</v>
      </c>
      <c r="D28" s="65">
        <f t="shared" si="0"/>
        <v>100.01176470588236</v>
      </c>
      <c r="E28" s="66">
        <f t="shared" si="1"/>
        <v>1</v>
      </c>
    </row>
    <row r="29" spans="1:5" s="59" customFormat="1" ht="24.75" customHeight="1">
      <c r="A29" s="16" t="s">
        <v>272</v>
      </c>
      <c r="B29" s="204">
        <v>0</v>
      </c>
      <c r="C29" s="308">
        <v>799.28</v>
      </c>
      <c r="D29" s="65"/>
      <c r="E29" s="66"/>
    </row>
    <row r="30" spans="1:5" s="59" customFormat="1" ht="44.25" customHeight="1">
      <c r="A30" s="16" t="s">
        <v>226</v>
      </c>
      <c r="B30" s="31">
        <v>9700</v>
      </c>
      <c r="C30" s="247">
        <v>2000</v>
      </c>
      <c r="D30" s="65">
        <f t="shared" si="0"/>
        <v>20.618556701030926</v>
      </c>
      <c r="E30" s="66">
        <f t="shared" si="1"/>
        <v>-7700</v>
      </c>
    </row>
    <row r="31" spans="1:5" s="59" customFormat="1" ht="18.75" customHeight="1">
      <c r="A31" s="41" t="s">
        <v>91</v>
      </c>
      <c r="B31" s="203">
        <v>20900</v>
      </c>
      <c r="C31" s="205">
        <v>23285.82</v>
      </c>
      <c r="D31" s="65">
        <f t="shared" si="0"/>
        <v>111.4154066985646</v>
      </c>
      <c r="E31" s="66">
        <f t="shared" si="1"/>
        <v>2385.8199999999997</v>
      </c>
    </row>
    <row r="32" spans="1:5" s="59" customFormat="1" ht="16.5" customHeight="1">
      <c r="A32" s="41" t="s">
        <v>78</v>
      </c>
      <c r="B32" s="203">
        <f>B33+B34</f>
        <v>13580</v>
      </c>
      <c r="C32" s="203">
        <f>C33+C34</f>
        <v>13580</v>
      </c>
      <c r="D32" s="65">
        <f t="shared" si="0"/>
        <v>100</v>
      </c>
      <c r="E32" s="66">
        <f t="shared" si="1"/>
        <v>0</v>
      </c>
    </row>
    <row r="33" spans="1:5" s="59" customFormat="1" ht="16.5" customHeight="1">
      <c r="A33" s="41" t="s">
        <v>134</v>
      </c>
      <c r="B33" s="203">
        <v>13580</v>
      </c>
      <c r="C33" s="238">
        <v>13580</v>
      </c>
      <c r="D33" s="65">
        <f t="shared" si="0"/>
        <v>100</v>
      </c>
      <c r="E33" s="66">
        <f t="shared" si="1"/>
        <v>0</v>
      </c>
    </row>
    <row r="34" spans="1:5" s="59" customFormat="1" ht="27.75" customHeight="1">
      <c r="A34" s="41" t="s">
        <v>205</v>
      </c>
      <c r="B34" s="204">
        <v>0</v>
      </c>
      <c r="C34" s="206">
        <v>0</v>
      </c>
      <c r="D34" s="65" t="str">
        <f t="shared" si="0"/>
        <v>   </v>
      </c>
      <c r="E34" s="66">
        <f t="shared" si="1"/>
        <v>0</v>
      </c>
    </row>
    <row r="35" spans="1:5" s="59" customFormat="1" ht="15.75" customHeight="1">
      <c r="A35" s="16" t="s">
        <v>31</v>
      </c>
      <c r="B35" s="204">
        <v>0</v>
      </c>
      <c r="C35" s="206">
        <v>0</v>
      </c>
      <c r="D35" s="65" t="str">
        <f t="shared" si="0"/>
        <v>   </v>
      </c>
      <c r="E35" s="66">
        <f t="shared" si="1"/>
        <v>0</v>
      </c>
    </row>
    <row r="36" spans="1:5" s="59" customFormat="1" ht="15" customHeight="1">
      <c r="A36" s="41" t="s">
        <v>32</v>
      </c>
      <c r="B36" s="204">
        <f>B39+B40</f>
        <v>0</v>
      </c>
      <c r="C36" s="204">
        <f>SUM(C39:C40)</f>
        <v>0</v>
      </c>
      <c r="D36" s="65" t="str">
        <f t="shared" si="0"/>
        <v>   </v>
      </c>
      <c r="E36" s="66">
        <f t="shared" si="1"/>
        <v>0</v>
      </c>
    </row>
    <row r="37" spans="1:5" s="59" customFormat="1" ht="12.75" customHeight="1" hidden="1">
      <c r="A37" s="69" t="s">
        <v>33</v>
      </c>
      <c r="B37" s="204"/>
      <c r="C37" s="207"/>
      <c r="D37" s="65" t="e">
        <f>IF(#REF!=0,"   ",C37/#REF!)</f>
        <v>#REF!</v>
      </c>
      <c r="E37" s="66" t="e">
        <f>C37-#REF!</f>
        <v>#REF!</v>
      </c>
    </row>
    <row r="38" spans="1:5" s="9" customFormat="1" ht="12.75" customHeight="1" hidden="1">
      <c r="A38" s="69" t="s">
        <v>16</v>
      </c>
      <c r="B38" s="208" t="e">
        <f>SUM(B45,#REF!,#REF!,#REF!)</f>
        <v>#REF!</v>
      </c>
      <c r="C38" s="209" t="e">
        <f>SUM(C45,#REF!,#REF!,#REF!)</f>
        <v>#REF!</v>
      </c>
      <c r="D38" s="65" t="e">
        <f>IF(#REF!=0,"   ",C38/#REF!)</f>
        <v>#REF!</v>
      </c>
      <c r="E38" s="66" t="e">
        <f>C38-#REF!</f>
        <v>#REF!</v>
      </c>
    </row>
    <row r="39" spans="1:5" s="9" customFormat="1" ht="12.75">
      <c r="A39" s="41" t="s">
        <v>133</v>
      </c>
      <c r="B39" s="210">
        <v>0</v>
      </c>
      <c r="C39" s="203">
        <v>0</v>
      </c>
      <c r="D39" s="65" t="str">
        <f>IF(B39=0,"   ",C39/B39*100)</f>
        <v>   </v>
      </c>
      <c r="E39" s="66">
        <f>C39-B39</f>
        <v>0</v>
      </c>
    </row>
    <row r="40" spans="1:5" s="9" customFormat="1" ht="15" customHeight="1">
      <c r="A40" s="41" t="s">
        <v>108</v>
      </c>
      <c r="B40" s="204">
        <v>0</v>
      </c>
      <c r="C40" s="203">
        <v>0</v>
      </c>
      <c r="D40" s="65" t="str">
        <f>IF(B40=0,"   ",C40/B40*100)</f>
        <v>   </v>
      </c>
      <c r="E40" s="66">
        <f>C40-B40</f>
        <v>0</v>
      </c>
    </row>
    <row r="41" spans="1:5" s="9" customFormat="1" ht="12.75" customHeight="1" hidden="1">
      <c r="A41" s="41" t="s">
        <v>46</v>
      </c>
      <c r="B41" s="208"/>
      <c r="C41" s="203">
        <v>0</v>
      </c>
      <c r="D41" s="65" t="e">
        <f>IF(#REF!=0,"   ",C41/#REF!)</f>
        <v>#REF!</v>
      </c>
      <c r="E41" s="66" t="e">
        <f>C41-#REF!</f>
        <v>#REF!</v>
      </c>
    </row>
    <row r="42" spans="1:5" s="9" customFormat="1" ht="0.75" customHeight="1" hidden="1">
      <c r="A42" s="88" t="s">
        <v>47</v>
      </c>
      <c r="B42" s="211">
        <v>1250</v>
      </c>
      <c r="C42" s="212"/>
      <c r="D42" s="90" t="e">
        <f>IF(#REF!=0,"   ",C42/#REF!)</f>
        <v>#REF!</v>
      </c>
      <c r="E42" s="91" t="e">
        <f>C42-#REF!</f>
        <v>#REF!</v>
      </c>
    </row>
    <row r="43" spans="1:5" s="9" customFormat="1" ht="22.5" customHeight="1">
      <c r="A43" s="190" t="s">
        <v>10</v>
      </c>
      <c r="B43" s="213">
        <f>B7+B16+B19+B25+B26+B31+B32+B36+B14+B35+B24</f>
        <v>1978100</v>
      </c>
      <c r="C43" s="209">
        <f>C7+C16+C19+C25+C26+C31+C32+C36+C14+C35+C24</f>
        <v>1363244.28</v>
      </c>
      <c r="D43" s="141">
        <f aca="true" t="shared" si="2" ref="D43:D59">IF(B43=0,"   ",C43/B43*100)</f>
        <v>68.91685354633233</v>
      </c>
      <c r="E43" s="191">
        <f aca="true" t="shared" si="3" ref="E43:E59">C43-B43</f>
        <v>-614855.72</v>
      </c>
    </row>
    <row r="44" spans="1:5" s="9" customFormat="1" ht="18.75" customHeight="1">
      <c r="A44" s="181" t="s">
        <v>140</v>
      </c>
      <c r="B44" s="214">
        <f>SUM(B45:B48,B51:B54,B59)</f>
        <v>7650416.8</v>
      </c>
      <c r="C44" s="215">
        <f>SUM(C45:C48,C51:C54,C59)</f>
        <v>2092300</v>
      </c>
      <c r="D44" s="65">
        <f t="shared" si="2"/>
        <v>27.34883673266011</v>
      </c>
      <c r="E44" s="68">
        <f t="shared" si="3"/>
        <v>-5558116.8</v>
      </c>
    </row>
    <row r="45" spans="1:5" s="59" customFormat="1" ht="19.5" customHeight="1">
      <c r="A45" s="92" t="s">
        <v>34</v>
      </c>
      <c r="B45" s="215">
        <v>796400</v>
      </c>
      <c r="C45" s="238">
        <v>662600</v>
      </c>
      <c r="D45" s="78">
        <f t="shared" si="2"/>
        <v>83.19939728779508</v>
      </c>
      <c r="E45" s="79">
        <f t="shared" si="3"/>
        <v>-133800</v>
      </c>
    </row>
    <row r="46" spans="1:5" s="59" customFormat="1" ht="19.5" customHeight="1">
      <c r="A46" s="17" t="s">
        <v>229</v>
      </c>
      <c r="B46" s="215">
        <v>0</v>
      </c>
      <c r="C46" s="238">
        <v>0</v>
      </c>
      <c r="D46" s="78" t="str">
        <f>IF(B46=0,"   ",C46/B46*100)</f>
        <v>   </v>
      </c>
      <c r="E46" s="79">
        <f>C46-B46</f>
        <v>0</v>
      </c>
    </row>
    <row r="47" spans="1:5" s="59" customFormat="1" ht="30" customHeight="1">
      <c r="A47" s="109" t="s">
        <v>51</v>
      </c>
      <c r="B47" s="249">
        <v>90400</v>
      </c>
      <c r="C47" s="247">
        <v>89900</v>
      </c>
      <c r="D47" s="110">
        <f t="shared" si="2"/>
        <v>99.44690265486726</v>
      </c>
      <c r="E47" s="111">
        <f t="shared" si="3"/>
        <v>-500</v>
      </c>
    </row>
    <row r="48" spans="1:5" s="59" customFormat="1" ht="30" customHeight="1">
      <c r="A48" s="109" t="s">
        <v>148</v>
      </c>
      <c r="B48" s="249">
        <f>SUM(B49:B50)</f>
        <v>9900</v>
      </c>
      <c r="C48" s="249">
        <f>SUM(C49:C50)</f>
        <v>100</v>
      </c>
      <c r="D48" s="110">
        <f t="shared" si="2"/>
        <v>1.0101010101010102</v>
      </c>
      <c r="E48" s="111">
        <f t="shared" si="3"/>
        <v>-9800</v>
      </c>
    </row>
    <row r="49" spans="1:5" s="59" customFormat="1" ht="18" customHeight="1">
      <c r="A49" s="109" t="s">
        <v>163</v>
      </c>
      <c r="B49" s="249">
        <v>100</v>
      </c>
      <c r="C49" s="249">
        <v>100</v>
      </c>
      <c r="D49" s="110">
        <f t="shared" si="2"/>
        <v>100</v>
      </c>
      <c r="E49" s="111">
        <f t="shared" si="3"/>
        <v>0</v>
      </c>
    </row>
    <row r="50" spans="1:5" s="59" customFormat="1" ht="30" customHeight="1">
      <c r="A50" s="109" t="s">
        <v>164</v>
      </c>
      <c r="B50" s="249">
        <v>9800</v>
      </c>
      <c r="C50" s="249">
        <v>0</v>
      </c>
      <c r="D50" s="110">
        <f t="shared" si="2"/>
        <v>0</v>
      </c>
      <c r="E50" s="111">
        <f t="shared" si="3"/>
        <v>-9800</v>
      </c>
    </row>
    <row r="51" spans="1:5" s="59" customFormat="1" ht="31.5" customHeight="1">
      <c r="A51" s="16" t="s">
        <v>103</v>
      </c>
      <c r="B51" s="249">
        <v>0</v>
      </c>
      <c r="C51" s="249">
        <v>0</v>
      </c>
      <c r="D51" s="110" t="str">
        <f t="shared" si="2"/>
        <v>   </v>
      </c>
      <c r="E51" s="111">
        <f t="shared" si="3"/>
        <v>0</v>
      </c>
    </row>
    <row r="52" spans="1:5" s="59" customFormat="1" ht="30" customHeight="1">
      <c r="A52" s="16" t="s">
        <v>297</v>
      </c>
      <c r="B52" s="216">
        <v>1200000</v>
      </c>
      <c r="C52" s="216">
        <v>100000</v>
      </c>
      <c r="D52" s="110">
        <f t="shared" si="2"/>
        <v>8.333333333333332</v>
      </c>
      <c r="E52" s="111">
        <f t="shared" si="3"/>
        <v>-1100000</v>
      </c>
    </row>
    <row r="53" spans="1:5" s="59" customFormat="1" ht="41.25" customHeight="1">
      <c r="A53" s="16" t="s">
        <v>238</v>
      </c>
      <c r="B53" s="249">
        <v>562200</v>
      </c>
      <c r="C53" s="249">
        <v>562200</v>
      </c>
      <c r="D53" s="110">
        <f t="shared" si="2"/>
        <v>100</v>
      </c>
      <c r="E53" s="111">
        <f t="shared" si="3"/>
        <v>0</v>
      </c>
    </row>
    <row r="54" spans="1:5" s="59" customFormat="1" ht="18" customHeight="1">
      <c r="A54" s="41" t="s">
        <v>54</v>
      </c>
      <c r="B54" s="204">
        <f>B58+B55+B56+B57</f>
        <v>4863410</v>
      </c>
      <c r="C54" s="204">
        <f>C58+C55+C56+C57</f>
        <v>547500</v>
      </c>
      <c r="D54" s="65">
        <f t="shared" si="2"/>
        <v>11.25753329454025</v>
      </c>
      <c r="E54" s="66">
        <f t="shared" si="3"/>
        <v>-4315910</v>
      </c>
    </row>
    <row r="55" spans="1:5" s="59" customFormat="1" ht="18" customHeight="1">
      <c r="A55" s="46" t="s">
        <v>188</v>
      </c>
      <c r="B55" s="204">
        <v>57300</v>
      </c>
      <c r="C55" s="204">
        <v>57300</v>
      </c>
      <c r="D55" s="65">
        <f t="shared" si="2"/>
        <v>100</v>
      </c>
      <c r="E55" s="66">
        <f t="shared" si="3"/>
        <v>0</v>
      </c>
    </row>
    <row r="56" spans="1:5" s="59" customFormat="1" ht="18" customHeight="1">
      <c r="A56" s="46" t="s">
        <v>287</v>
      </c>
      <c r="B56" s="204">
        <v>328200</v>
      </c>
      <c r="C56" s="204">
        <v>328200</v>
      </c>
      <c r="D56" s="65">
        <f>IF(B56=0,"   ",C56/B56*100)</f>
        <v>100</v>
      </c>
      <c r="E56" s="66">
        <f>C56-B56</f>
        <v>0</v>
      </c>
    </row>
    <row r="57" spans="1:5" s="59" customFormat="1" ht="18" customHeight="1">
      <c r="A57" s="46" t="s">
        <v>296</v>
      </c>
      <c r="B57" s="204">
        <v>4108110</v>
      </c>
      <c r="C57" s="204">
        <v>0</v>
      </c>
      <c r="D57" s="65">
        <f>IF(B57=0,"   ",C57/B57*100)</f>
        <v>0</v>
      </c>
      <c r="E57" s="66">
        <f>C57-B57</f>
        <v>-4108110</v>
      </c>
    </row>
    <row r="58" spans="1:5" s="59" customFormat="1" ht="20.25" customHeight="1">
      <c r="A58" s="46" t="s">
        <v>109</v>
      </c>
      <c r="B58" s="204">
        <v>369800</v>
      </c>
      <c r="C58" s="204">
        <v>162000</v>
      </c>
      <c r="D58" s="65">
        <f t="shared" si="2"/>
        <v>43.807463493780425</v>
      </c>
      <c r="E58" s="66">
        <f t="shared" si="3"/>
        <v>-207800</v>
      </c>
    </row>
    <row r="59" spans="1:5" s="59" customFormat="1" ht="24.75" customHeight="1">
      <c r="A59" s="16" t="s">
        <v>199</v>
      </c>
      <c r="B59" s="204">
        <v>128106.8</v>
      </c>
      <c r="C59" s="204">
        <v>130000</v>
      </c>
      <c r="D59" s="65">
        <f t="shared" si="2"/>
        <v>101.47782943606427</v>
      </c>
      <c r="E59" s="66">
        <f t="shared" si="3"/>
        <v>1893.199999999997</v>
      </c>
    </row>
    <row r="60" spans="1:5" s="59" customFormat="1" ht="27" customHeight="1">
      <c r="A60" s="30" t="s">
        <v>11</v>
      </c>
      <c r="B60" s="150">
        <f>B43+B44</f>
        <v>9628516.8</v>
      </c>
      <c r="C60" s="43">
        <f>C43+C44</f>
        <v>3455544.2800000003</v>
      </c>
      <c r="D60" s="141">
        <f aca="true" t="shared" si="4" ref="D60:D91">IF(B60=0,"   ",C60/B60*100)</f>
        <v>35.88864569463077</v>
      </c>
      <c r="E60" s="142">
        <f aca="true" t="shared" si="5" ref="E60:E91">C60-B60</f>
        <v>-6172972.5200000005</v>
      </c>
    </row>
    <row r="61" spans="1:5" s="8" customFormat="1" ht="13.5" thickBot="1">
      <c r="A61" s="106" t="s">
        <v>12</v>
      </c>
      <c r="B61" s="107"/>
      <c r="C61" s="108"/>
      <c r="D61" s="90"/>
      <c r="E61" s="91"/>
    </row>
    <row r="62" spans="1:5" s="59" customFormat="1" ht="18.75" customHeight="1" thickBot="1">
      <c r="A62" s="98" t="s">
        <v>35</v>
      </c>
      <c r="B62" s="99">
        <f>SUM(B63,B66:B67)</f>
        <v>1304568.93</v>
      </c>
      <c r="C62" s="99">
        <f>SUM(C63,C66:C67)</f>
        <v>989795.93</v>
      </c>
      <c r="D62" s="93">
        <f t="shared" si="4"/>
        <v>75.87149342886774</v>
      </c>
      <c r="E62" s="94">
        <f t="shared" si="5"/>
        <v>-314772.9999999999</v>
      </c>
    </row>
    <row r="63" spans="1:5" s="59" customFormat="1" ht="17.25" customHeight="1" thickBot="1">
      <c r="A63" s="96" t="s">
        <v>36</v>
      </c>
      <c r="B63" s="97">
        <v>1244800</v>
      </c>
      <c r="C63" s="99">
        <v>931311.38</v>
      </c>
      <c r="D63" s="78">
        <f t="shared" si="4"/>
        <v>74.81614556555269</v>
      </c>
      <c r="E63" s="79">
        <f t="shared" si="5"/>
        <v>-313488.62</v>
      </c>
    </row>
    <row r="64" spans="1:5" s="59" customFormat="1" ht="18" customHeight="1">
      <c r="A64" s="41" t="s">
        <v>120</v>
      </c>
      <c r="B64" s="31">
        <v>855974</v>
      </c>
      <c r="C64" s="70">
        <v>653398.98</v>
      </c>
      <c r="D64" s="65">
        <f t="shared" si="4"/>
        <v>76.33397509737445</v>
      </c>
      <c r="E64" s="66">
        <f t="shared" si="5"/>
        <v>-202575.02000000002</v>
      </c>
    </row>
    <row r="65" spans="1:5" s="59" customFormat="1" ht="18" customHeight="1">
      <c r="A65" s="41" t="s">
        <v>288</v>
      </c>
      <c r="B65" s="31">
        <v>100</v>
      </c>
      <c r="C65" s="70">
        <v>100</v>
      </c>
      <c r="D65" s="65">
        <f>IF(B65=0,"   ",C65/B65*100)</f>
        <v>100</v>
      </c>
      <c r="E65" s="66">
        <f>C65-B65</f>
        <v>0</v>
      </c>
    </row>
    <row r="66" spans="1:5" s="59" customFormat="1" ht="15.75" customHeight="1">
      <c r="A66" s="41" t="s">
        <v>95</v>
      </c>
      <c r="B66" s="31">
        <v>0</v>
      </c>
      <c r="C66" s="70">
        <v>0</v>
      </c>
      <c r="D66" s="65" t="str">
        <f t="shared" si="4"/>
        <v>   </v>
      </c>
      <c r="E66" s="66">
        <f t="shared" si="5"/>
        <v>0</v>
      </c>
    </row>
    <row r="67" spans="1:5" s="59" customFormat="1" ht="12.75">
      <c r="A67" s="41" t="s">
        <v>52</v>
      </c>
      <c r="B67" s="31">
        <f>SUM(B68:B69)</f>
        <v>59768.93</v>
      </c>
      <c r="C67" s="31">
        <f>SUM(C68:C69)</f>
        <v>58484.55</v>
      </c>
      <c r="D67" s="65">
        <f t="shared" si="4"/>
        <v>97.85109085941475</v>
      </c>
      <c r="E67" s="66">
        <f t="shared" si="5"/>
        <v>-1284.3799999999974</v>
      </c>
    </row>
    <row r="68" spans="1:5" s="59" customFormat="1" ht="28.5" customHeight="1">
      <c r="A68" s="105" t="s">
        <v>248</v>
      </c>
      <c r="B68" s="31">
        <v>1284.38</v>
      </c>
      <c r="C68" s="68">
        <v>0</v>
      </c>
      <c r="D68" s="65">
        <f t="shared" si="4"/>
        <v>0</v>
      </c>
      <c r="E68" s="68">
        <f t="shared" si="5"/>
        <v>-1284.38</v>
      </c>
    </row>
    <row r="69" spans="1:5" s="59" customFormat="1" ht="17.25" customHeight="1" thickBot="1">
      <c r="A69" s="195" t="s">
        <v>222</v>
      </c>
      <c r="B69" s="31">
        <v>58484.55</v>
      </c>
      <c r="C69" s="68">
        <v>58484.55</v>
      </c>
      <c r="D69" s="65">
        <f t="shared" si="4"/>
        <v>100</v>
      </c>
      <c r="E69" s="68">
        <f t="shared" si="5"/>
        <v>0</v>
      </c>
    </row>
    <row r="70" spans="1:5" s="59" customFormat="1" ht="13.5" thickBot="1">
      <c r="A70" s="98" t="s">
        <v>49</v>
      </c>
      <c r="B70" s="196">
        <f>SUM(B71)</f>
        <v>90400</v>
      </c>
      <c r="C70" s="196">
        <f>SUM(C71)</f>
        <v>71408.23</v>
      </c>
      <c r="D70" s="197">
        <f t="shared" si="4"/>
        <v>78.99140486725663</v>
      </c>
      <c r="E70" s="198">
        <f t="shared" si="5"/>
        <v>-18991.770000000004</v>
      </c>
    </row>
    <row r="71" spans="1:5" s="59" customFormat="1" ht="20.25" customHeight="1" thickBot="1">
      <c r="A71" s="75" t="s">
        <v>107</v>
      </c>
      <c r="B71" s="100">
        <v>90400</v>
      </c>
      <c r="C71" s="77">
        <v>71408.23</v>
      </c>
      <c r="D71" s="102">
        <f t="shared" si="4"/>
        <v>78.99140486725663</v>
      </c>
      <c r="E71" s="103">
        <f t="shared" si="5"/>
        <v>-18991.770000000004</v>
      </c>
    </row>
    <row r="72" spans="1:5" s="59" customFormat="1" ht="13.5" thickBot="1">
      <c r="A72" s="98" t="s">
        <v>37</v>
      </c>
      <c r="B72" s="99">
        <f>SUM(B73)</f>
        <v>400</v>
      </c>
      <c r="C72" s="99">
        <f>SUM(C73)</f>
        <v>400</v>
      </c>
      <c r="D72" s="93">
        <f t="shared" si="4"/>
        <v>100</v>
      </c>
      <c r="E72" s="94">
        <f t="shared" si="5"/>
        <v>0</v>
      </c>
    </row>
    <row r="73" spans="1:5" s="59" customFormat="1" ht="13.5" thickBot="1">
      <c r="A73" s="75" t="s">
        <v>128</v>
      </c>
      <c r="B73" s="100">
        <v>400</v>
      </c>
      <c r="C73" s="77">
        <v>400</v>
      </c>
      <c r="D73" s="102">
        <f t="shared" si="4"/>
        <v>100</v>
      </c>
      <c r="E73" s="103">
        <f t="shared" si="5"/>
        <v>0</v>
      </c>
    </row>
    <row r="74" spans="1:5" s="59" customFormat="1" ht="13.5" thickBot="1">
      <c r="A74" s="98" t="s">
        <v>38</v>
      </c>
      <c r="B74" s="99">
        <f>B75+B80+B92+B78</f>
        <v>2142017.48</v>
      </c>
      <c r="C74" s="99">
        <f>C75+C80+C92+C78</f>
        <v>1413737.48</v>
      </c>
      <c r="D74" s="93">
        <f t="shared" si="4"/>
        <v>66.00027745805323</v>
      </c>
      <c r="E74" s="94">
        <f t="shared" si="5"/>
        <v>-728280</v>
      </c>
    </row>
    <row r="75" spans="1:5" s="59" customFormat="1" ht="19.5" customHeight="1" thickBot="1">
      <c r="A75" s="75" t="s">
        <v>165</v>
      </c>
      <c r="B75" s="99">
        <f>SUM(B76+B77)</f>
        <v>9800</v>
      </c>
      <c r="C75" s="99">
        <f>SUM(C76+C77)</f>
        <v>0</v>
      </c>
      <c r="D75" s="93">
        <f>IF(B75=0,"   ",C75/B75*100)</f>
        <v>0</v>
      </c>
      <c r="E75" s="94">
        <f>C75-B75</f>
        <v>-9800</v>
      </c>
    </row>
    <row r="76" spans="1:5" s="59" customFormat="1" ht="17.25" customHeight="1" thickBot="1">
      <c r="A76" s="148" t="s">
        <v>166</v>
      </c>
      <c r="B76" s="253">
        <v>9800</v>
      </c>
      <c r="C76" s="99">
        <v>0</v>
      </c>
      <c r="D76" s="93">
        <f>IF(B76=0,"   ",C76/B76*100)</f>
        <v>0</v>
      </c>
      <c r="E76" s="94">
        <f>C76-B76</f>
        <v>-9800</v>
      </c>
    </row>
    <row r="77" spans="1:5" s="59" customFormat="1" ht="17.25" customHeight="1" thickBot="1">
      <c r="A77" s="148" t="s">
        <v>189</v>
      </c>
      <c r="B77" s="100">
        <v>0</v>
      </c>
      <c r="C77" s="99">
        <v>0</v>
      </c>
      <c r="D77" s="93"/>
      <c r="E77" s="94"/>
    </row>
    <row r="78" spans="1:5" s="59" customFormat="1" ht="17.25" customHeight="1" thickBot="1">
      <c r="A78" s="75" t="s">
        <v>231</v>
      </c>
      <c r="B78" s="99">
        <f>SUM(B79)</f>
        <v>62025.62</v>
      </c>
      <c r="C78" s="99">
        <f>SUM(C79)</f>
        <v>62025.62</v>
      </c>
      <c r="D78" s="78">
        <f>IF(B78=0,"   ",C78/B78*100)</f>
        <v>100</v>
      </c>
      <c r="E78" s="79">
        <f>C78-B78</f>
        <v>0</v>
      </c>
    </row>
    <row r="79" spans="1:5" s="59" customFormat="1" ht="17.25" customHeight="1">
      <c r="A79" s="75" t="s">
        <v>232</v>
      </c>
      <c r="B79" s="100">
        <v>62025.62</v>
      </c>
      <c r="C79" s="100">
        <v>62025.62</v>
      </c>
      <c r="D79" s="78">
        <f>IF(B79=0,"   ",C79/B79*100)</f>
        <v>100</v>
      </c>
      <c r="E79" s="79">
        <f>C79-B79</f>
        <v>0</v>
      </c>
    </row>
    <row r="80" spans="1:5" s="59" customFormat="1" ht="18.75" customHeight="1">
      <c r="A80" s="148" t="s">
        <v>131</v>
      </c>
      <c r="B80" s="97">
        <f>SUM(B81:B82,B86:B91)</f>
        <v>2036091.8599999999</v>
      </c>
      <c r="C80" s="97">
        <f>SUM(C81:C82,C86:C91)</f>
        <v>1351711.8599999999</v>
      </c>
      <c r="D80" s="78">
        <f t="shared" si="4"/>
        <v>66.38756760218078</v>
      </c>
      <c r="E80" s="79">
        <f t="shared" si="5"/>
        <v>-684380</v>
      </c>
    </row>
    <row r="81" spans="1:5" s="59" customFormat="1" ht="19.5" customHeight="1">
      <c r="A81" s="75" t="s">
        <v>149</v>
      </c>
      <c r="B81" s="31">
        <v>0</v>
      </c>
      <c r="C81" s="31"/>
      <c r="D81" s="78" t="str">
        <f t="shared" si="4"/>
        <v>   </v>
      </c>
      <c r="E81" s="68">
        <f t="shared" si="5"/>
        <v>0</v>
      </c>
    </row>
    <row r="82" spans="1:5" s="59" customFormat="1" ht="19.5" customHeight="1">
      <c r="A82" s="105" t="s">
        <v>206</v>
      </c>
      <c r="B82" s="31">
        <f>SUM(B83:B85)</f>
        <v>547029.64</v>
      </c>
      <c r="C82" s="31">
        <f>SUM(C83:C85)</f>
        <v>547011.86</v>
      </c>
      <c r="D82" s="78">
        <f>IF(B82=0,"   ",C82/B82*100)</f>
        <v>99.99674971908286</v>
      </c>
      <c r="E82" s="68">
        <f>C82-B82</f>
        <v>-17.78000000002794</v>
      </c>
    </row>
    <row r="83" spans="1:5" s="59" customFormat="1" ht="29.25" customHeight="1">
      <c r="A83" s="105" t="s">
        <v>216</v>
      </c>
      <c r="B83" s="31">
        <v>328217.78</v>
      </c>
      <c r="C83" s="31">
        <v>328200</v>
      </c>
      <c r="D83" s="78">
        <f>IF(B83=0,"   ",C83/B83*100)</f>
        <v>99.99458286507208</v>
      </c>
      <c r="E83" s="68">
        <f>C83-B83</f>
        <v>-17.78000000002794</v>
      </c>
    </row>
    <row r="84" spans="1:5" s="59" customFormat="1" ht="27" customHeight="1">
      <c r="A84" s="105" t="s">
        <v>207</v>
      </c>
      <c r="B84" s="31">
        <v>109811.86</v>
      </c>
      <c r="C84" s="31">
        <v>109811.86</v>
      </c>
      <c r="D84" s="78">
        <f>IF(B84=0,"   ",C84/B84*100)</f>
        <v>100</v>
      </c>
      <c r="E84" s="68">
        <f>C84-B84</f>
        <v>0</v>
      </c>
    </row>
    <row r="85" spans="1:5" s="59" customFormat="1" ht="26.25" customHeight="1">
      <c r="A85" s="105" t="s">
        <v>217</v>
      </c>
      <c r="B85" s="31">
        <v>109000</v>
      </c>
      <c r="C85" s="31">
        <v>109000</v>
      </c>
      <c r="D85" s="78">
        <f>IF(B85=0,"   ",C85/B85*100)</f>
        <v>100</v>
      </c>
      <c r="E85" s="68">
        <f>C85-B85</f>
        <v>0</v>
      </c>
    </row>
    <row r="86" spans="1:5" s="59" customFormat="1" ht="33.75" customHeight="1">
      <c r="A86" s="71" t="s">
        <v>257</v>
      </c>
      <c r="B86" s="31">
        <v>400400</v>
      </c>
      <c r="C86" s="31">
        <v>0</v>
      </c>
      <c r="D86" s="78">
        <f t="shared" si="4"/>
        <v>0</v>
      </c>
      <c r="E86" s="104">
        <f t="shared" si="5"/>
        <v>-400400</v>
      </c>
    </row>
    <row r="87" spans="1:5" s="59" customFormat="1" ht="27" customHeight="1">
      <c r="A87" s="71" t="s">
        <v>258</v>
      </c>
      <c r="B87" s="31">
        <v>53062.22</v>
      </c>
      <c r="C87" s="31">
        <v>0</v>
      </c>
      <c r="D87" s="78">
        <f t="shared" si="4"/>
        <v>0</v>
      </c>
      <c r="E87" s="104">
        <f t="shared" si="5"/>
        <v>-53062.22</v>
      </c>
    </row>
    <row r="88" spans="1:5" s="59" customFormat="1" ht="27" customHeight="1">
      <c r="A88" s="71" t="s">
        <v>259</v>
      </c>
      <c r="B88" s="31">
        <v>562200</v>
      </c>
      <c r="C88" s="31">
        <v>562200</v>
      </c>
      <c r="D88" s="78">
        <f t="shared" si="4"/>
        <v>100</v>
      </c>
      <c r="E88" s="104">
        <f t="shared" si="5"/>
        <v>0</v>
      </c>
    </row>
    <row r="89" spans="1:5" s="59" customFormat="1" ht="27" customHeight="1">
      <c r="A89" s="71" t="s">
        <v>260</v>
      </c>
      <c r="B89" s="31">
        <v>62500</v>
      </c>
      <c r="C89" s="31">
        <v>62500</v>
      </c>
      <c r="D89" s="78">
        <f t="shared" si="4"/>
        <v>100</v>
      </c>
      <c r="E89" s="104">
        <f t="shared" si="5"/>
        <v>0</v>
      </c>
    </row>
    <row r="90" spans="1:5" s="59" customFormat="1" ht="27" customHeight="1">
      <c r="A90" s="71" t="s">
        <v>261</v>
      </c>
      <c r="B90" s="31">
        <v>369800</v>
      </c>
      <c r="C90" s="31">
        <v>162000</v>
      </c>
      <c r="D90" s="78">
        <f t="shared" si="4"/>
        <v>43.807463493780425</v>
      </c>
      <c r="E90" s="104">
        <f t="shared" si="5"/>
        <v>-207800</v>
      </c>
    </row>
    <row r="91" spans="1:5" s="59" customFormat="1" ht="26.25">
      <c r="A91" s="71" t="s">
        <v>262</v>
      </c>
      <c r="B91" s="31">
        <v>41100</v>
      </c>
      <c r="C91" s="31">
        <v>18000</v>
      </c>
      <c r="D91" s="65">
        <f t="shared" si="4"/>
        <v>43.79562043795621</v>
      </c>
      <c r="E91" s="68">
        <f t="shared" si="5"/>
        <v>-23100</v>
      </c>
    </row>
    <row r="92" spans="1:5" s="59" customFormat="1" ht="12.75">
      <c r="A92" s="96" t="s">
        <v>177</v>
      </c>
      <c r="B92" s="31">
        <f>SUM(B93+B94)</f>
        <v>34100</v>
      </c>
      <c r="C92" s="31">
        <f>SUM(C93+C94)</f>
        <v>0</v>
      </c>
      <c r="D92" s="65">
        <f>IF(B92=0,"   ",C92/B92*100)</f>
        <v>0</v>
      </c>
      <c r="E92" s="68">
        <f>C92-B92</f>
        <v>-34100</v>
      </c>
    </row>
    <row r="93" spans="1:5" s="59" customFormat="1" ht="26.25">
      <c r="A93" s="105" t="s">
        <v>155</v>
      </c>
      <c r="B93" s="31">
        <v>34100</v>
      </c>
      <c r="C93" s="31">
        <v>0</v>
      </c>
      <c r="D93" s="65">
        <f>IF(B93=0,"   ",C93/B93*100)</f>
        <v>0</v>
      </c>
      <c r="E93" s="68">
        <f>C93-B93</f>
        <v>-34100</v>
      </c>
    </row>
    <row r="94" spans="1:5" s="59" customFormat="1" ht="27" thickBot="1">
      <c r="A94" s="75" t="s">
        <v>178</v>
      </c>
      <c r="B94" s="31">
        <v>0</v>
      </c>
      <c r="C94" s="31">
        <v>0</v>
      </c>
      <c r="D94" s="65" t="str">
        <f>IF(B94=0,"   ",C94/B94*100)</f>
        <v>   </v>
      </c>
      <c r="E94" s="68">
        <f>C94-B94</f>
        <v>0</v>
      </c>
    </row>
    <row r="95" spans="1:5" s="59" customFormat="1" ht="13.5" thickBot="1">
      <c r="A95" s="98" t="s">
        <v>13</v>
      </c>
      <c r="B95" s="31">
        <f>B108+B98+B100</f>
        <v>5711434</v>
      </c>
      <c r="C95" s="31">
        <f>C108+C98+C100</f>
        <v>258937.76</v>
      </c>
      <c r="D95" s="65">
        <f>IF(B95=0,"   ",C95/B95*100)</f>
        <v>4.533673329675175</v>
      </c>
      <c r="E95" s="68">
        <f>C95-B95</f>
        <v>-5452496.24</v>
      </c>
    </row>
    <row r="96" spans="1:5" s="59" customFormat="1" ht="12.75" customHeight="1" hidden="1">
      <c r="A96" s="96" t="s">
        <v>40</v>
      </c>
      <c r="B96" s="97" t="e">
        <f>SUM(#REF!,B108,#REF!)</f>
        <v>#REF!</v>
      </c>
      <c r="C96" s="97" t="e">
        <f>SUM(#REF!,C108,#REF!)</f>
        <v>#REF!</v>
      </c>
      <c r="D96" s="78" t="e">
        <f>IF(#REF!=0,"   ",C96/#REF!)</f>
        <v>#REF!</v>
      </c>
      <c r="E96" s="79" t="e">
        <f>C96-#REF!</f>
        <v>#REF!</v>
      </c>
    </row>
    <row r="97" spans="1:5" s="59" customFormat="1" ht="12.75" customHeight="1" hidden="1">
      <c r="A97" s="41" t="s">
        <v>18</v>
      </c>
      <c r="B97" s="31">
        <v>851563</v>
      </c>
      <c r="C97" s="68">
        <v>851563</v>
      </c>
      <c r="D97" s="65" t="e">
        <f>IF(#REF!=0,"   ",C97/#REF!)</f>
        <v>#REF!</v>
      </c>
      <c r="E97" s="66" t="e">
        <f>C97-#REF!</f>
        <v>#REF!</v>
      </c>
    </row>
    <row r="98" spans="1:5" s="59" customFormat="1" ht="12.75" customHeight="1">
      <c r="A98" s="41" t="s">
        <v>156</v>
      </c>
      <c r="B98" s="31">
        <f>SUM(B99)</f>
        <v>0</v>
      </c>
      <c r="C98" s="31">
        <f>SUM(C99)</f>
        <v>0</v>
      </c>
      <c r="D98" s="65" t="str">
        <f aca="true" t="shared" si="6" ref="D98:D105">IF(B98=0,"   ",C98/B98*100)</f>
        <v>   </v>
      </c>
      <c r="E98" s="68">
        <f aca="true" t="shared" si="7" ref="E98:E107">C98-B98</f>
        <v>0</v>
      </c>
    </row>
    <row r="99" spans="1:5" s="59" customFormat="1" ht="12.75" customHeight="1">
      <c r="A99" s="41" t="s">
        <v>157</v>
      </c>
      <c r="B99" s="31">
        <v>0</v>
      </c>
      <c r="C99" s="31">
        <v>0</v>
      </c>
      <c r="D99" s="65" t="str">
        <f t="shared" si="6"/>
        <v>   </v>
      </c>
      <c r="E99" s="68">
        <f t="shared" si="7"/>
        <v>0</v>
      </c>
    </row>
    <row r="100" spans="1:5" s="59" customFormat="1" ht="12.75" customHeight="1">
      <c r="A100" s="41" t="s">
        <v>150</v>
      </c>
      <c r="B100" s="31">
        <f>SUM(B101+B102)</f>
        <v>4219200</v>
      </c>
      <c r="C100" s="31">
        <f>SUM(C101+C102)</f>
        <v>0</v>
      </c>
      <c r="D100" s="65">
        <f t="shared" si="6"/>
        <v>0</v>
      </c>
      <c r="E100" s="68">
        <f t="shared" si="7"/>
        <v>-4219200</v>
      </c>
    </row>
    <row r="101" spans="1:5" s="59" customFormat="1" ht="12.75" customHeight="1">
      <c r="A101" s="16" t="s">
        <v>301</v>
      </c>
      <c r="B101" s="31">
        <v>4108110</v>
      </c>
      <c r="C101" s="31">
        <v>0</v>
      </c>
      <c r="D101" s="65">
        <f t="shared" si="6"/>
        <v>0</v>
      </c>
      <c r="E101" s="68">
        <f t="shared" si="7"/>
        <v>-4108110</v>
      </c>
    </row>
    <row r="102" spans="1:5" s="59" customFormat="1" ht="12.75" customHeight="1">
      <c r="A102" s="16" t="s">
        <v>326</v>
      </c>
      <c r="B102" s="97">
        <v>111090</v>
      </c>
      <c r="C102" s="97">
        <v>0</v>
      </c>
      <c r="D102" s="65">
        <f t="shared" si="6"/>
        <v>0</v>
      </c>
      <c r="E102" s="68">
        <f t="shared" si="7"/>
        <v>-111090</v>
      </c>
    </row>
    <row r="103" spans="1:5" s="59" customFormat="1" ht="18.75" customHeight="1">
      <c r="A103" s="105" t="s">
        <v>206</v>
      </c>
      <c r="B103" s="118">
        <f>SUM(B104+B105+B106)</f>
        <v>0</v>
      </c>
      <c r="C103" s="118">
        <f>SUM(C104+C105+C106)</f>
        <v>0</v>
      </c>
      <c r="D103" s="65" t="str">
        <f t="shared" si="6"/>
        <v>   </v>
      </c>
      <c r="E103" s="68">
        <f t="shared" si="7"/>
        <v>0</v>
      </c>
    </row>
    <row r="104" spans="1:5" s="59" customFormat="1" ht="22.5" customHeight="1">
      <c r="A104" s="105" t="s">
        <v>187</v>
      </c>
      <c r="B104" s="31">
        <v>0</v>
      </c>
      <c r="C104" s="31">
        <v>0</v>
      </c>
      <c r="D104" s="65" t="str">
        <f t="shared" si="6"/>
        <v>   </v>
      </c>
      <c r="E104" s="68">
        <f t="shared" si="7"/>
        <v>0</v>
      </c>
    </row>
    <row r="105" spans="1:5" s="59" customFormat="1" ht="27" customHeight="1">
      <c r="A105" s="105" t="s">
        <v>207</v>
      </c>
      <c r="B105" s="31">
        <v>0</v>
      </c>
      <c r="C105" s="31">
        <v>0</v>
      </c>
      <c r="D105" s="65" t="str">
        <f t="shared" si="6"/>
        <v>   </v>
      </c>
      <c r="E105" s="68">
        <f t="shared" si="7"/>
        <v>0</v>
      </c>
    </row>
    <row r="106" spans="1:5" s="59" customFormat="1" ht="28.5" customHeight="1">
      <c r="A106" s="105" t="s">
        <v>217</v>
      </c>
      <c r="B106" s="31">
        <v>0</v>
      </c>
      <c r="C106" s="31">
        <v>0</v>
      </c>
      <c r="D106" s="65" t="str">
        <f>IF(B106=0,"   ",C106/B106*100)</f>
        <v>   </v>
      </c>
      <c r="E106" s="68">
        <f t="shared" si="7"/>
        <v>0</v>
      </c>
    </row>
    <row r="107" spans="1:5" s="59" customFormat="1" ht="12.75" customHeight="1">
      <c r="A107" s="16" t="s">
        <v>197</v>
      </c>
      <c r="B107" s="31">
        <v>0</v>
      </c>
      <c r="C107" s="31">
        <v>0</v>
      </c>
      <c r="D107" s="65" t="str">
        <f>IF(B107=0,"   ",C107/B107*100)</f>
        <v>   </v>
      </c>
      <c r="E107" s="193">
        <f t="shared" si="7"/>
        <v>0</v>
      </c>
    </row>
    <row r="108" spans="1:5" s="59" customFormat="1" ht="12.75">
      <c r="A108" s="41" t="s">
        <v>58</v>
      </c>
      <c r="B108" s="31">
        <f>SUM(B109:B113)</f>
        <v>1492234</v>
      </c>
      <c r="C108" s="31">
        <f>SUM(C109:C113)</f>
        <v>258937.76</v>
      </c>
      <c r="D108" s="65">
        <f aca="true" t="shared" si="8" ref="D108:D121">IF(B108=0,"   ",C108/B108*100)</f>
        <v>17.352356265840342</v>
      </c>
      <c r="E108" s="66">
        <f aca="true" t="shared" si="9" ref="E108:E121">C108-B108</f>
        <v>-1233296.24</v>
      </c>
    </row>
    <row r="109" spans="1:5" s="59" customFormat="1" ht="15" customHeight="1">
      <c r="A109" s="41" t="s">
        <v>56</v>
      </c>
      <c r="B109" s="31">
        <v>196700</v>
      </c>
      <c r="C109" s="68">
        <v>163424.16</v>
      </c>
      <c r="D109" s="65">
        <f t="shared" si="8"/>
        <v>83.08294865277071</v>
      </c>
      <c r="E109" s="66">
        <f t="shared" si="9"/>
        <v>-33275.84</v>
      </c>
    </row>
    <row r="110" spans="1:5" s="59" customFormat="1" ht="32.25" customHeight="1">
      <c r="A110" s="105" t="s">
        <v>167</v>
      </c>
      <c r="B110" s="89">
        <v>0</v>
      </c>
      <c r="C110" s="73">
        <v>0</v>
      </c>
      <c r="D110" s="90" t="str">
        <f t="shared" si="8"/>
        <v>   </v>
      </c>
      <c r="E110" s="91">
        <f t="shared" si="9"/>
        <v>0</v>
      </c>
    </row>
    <row r="111" spans="1:5" s="59" customFormat="1" ht="17.25" customHeight="1">
      <c r="A111" s="71" t="s">
        <v>57</v>
      </c>
      <c r="B111" s="31">
        <v>0</v>
      </c>
      <c r="C111" s="70">
        <v>0</v>
      </c>
      <c r="D111" s="90" t="str">
        <f t="shared" si="8"/>
        <v>   </v>
      </c>
      <c r="E111" s="91">
        <f t="shared" si="9"/>
        <v>0</v>
      </c>
    </row>
    <row r="112" spans="1:5" s="59" customFormat="1" ht="17.25" customHeight="1">
      <c r="A112" s="105" t="s">
        <v>302</v>
      </c>
      <c r="B112" s="31">
        <v>1200000</v>
      </c>
      <c r="C112" s="70">
        <v>0</v>
      </c>
      <c r="D112" s="90">
        <f t="shared" si="8"/>
        <v>0</v>
      </c>
      <c r="E112" s="306">
        <f t="shared" si="9"/>
        <v>-1200000</v>
      </c>
    </row>
    <row r="113" spans="1:5" s="59" customFormat="1" ht="17.25" customHeight="1">
      <c r="A113" s="105" t="s">
        <v>206</v>
      </c>
      <c r="B113" s="25">
        <f>SUM(B114+B115+B116)</f>
        <v>95534</v>
      </c>
      <c r="C113" s="25">
        <f>SUM(C114+C115+C116)</f>
        <v>95513.6</v>
      </c>
      <c r="D113" s="65">
        <f t="shared" si="8"/>
        <v>99.9786463458036</v>
      </c>
      <c r="E113" s="68">
        <f t="shared" si="9"/>
        <v>-20.39999999999418</v>
      </c>
    </row>
    <row r="114" spans="1:5" s="59" customFormat="1" ht="15.75" customHeight="1">
      <c r="A114" s="105" t="s">
        <v>187</v>
      </c>
      <c r="B114" s="31">
        <v>57320.4</v>
      </c>
      <c r="C114" s="70">
        <v>57300</v>
      </c>
      <c r="D114" s="65">
        <f t="shared" si="8"/>
        <v>99.96441057633932</v>
      </c>
      <c r="E114" s="68">
        <f t="shared" si="9"/>
        <v>-20.400000000001455</v>
      </c>
    </row>
    <row r="115" spans="1:5" s="59" customFormat="1" ht="27.75" customHeight="1">
      <c r="A115" s="105" t="s">
        <v>207</v>
      </c>
      <c r="B115" s="31">
        <v>19106.8</v>
      </c>
      <c r="C115" s="70">
        <v>19106.8</v>
      </c>
      <c r="D115" s="65">
        <f>IF(B115=0,"   ",C115/B115*100)</f>
        <v>100</v>
      </c>
      <c r="E115" s="68">
        <f>C115-B115</f>
        <v>0</v>
      </c>
    </row>
    <row r="116" spans="1:5" s="59" customFormat="1" ht="27" customHeight="1" thickBot="1">
      <c r="A116" s="105" t="s">
        <v>217</v>
      </c>
      <c r="B116" s="31">
        <v>19106.8</v>
      </c>
      <c r="C116" s="70">
        <v>19106.8</v>
      </c>
      <c r="D116" s="65">
        <f t="shared" si="8"/>
        <v>100</v>
      </c>
      <c r="E116" s="68">
        <f t="shared" si="9"/>
        <v>0</v>
      </c>
    </row>
    <row r="117" spans="1:5" s="59" customFormat="1" ht="15" customHeight="1" thickBot="1">
      <c r="A117" s="98" t="s">
        <v>17</v>
      </c>
      <c r="B117" s="196">
        <v>8000</v>
      </c>
      <c r="C117" s="196">
        <v>8000</v>
      </c>
      <c r="D117" s="197">
        <f t="shared" si="8"/>
        <v>100</v>
      </c>
      <c r="E117" s="198">
        <f t="shared" si="9"/>
        <v>0</v>
      </c>
    </row>
    <row r="118" spans="1:5" s="59" customFormat="1" ht="13.5" thickBot="1">
      <c r="A118" s="98" t="s">
        <v>41</v>
      </c>
      <c r="B118" s="182">
        <f>SUM(B119)</f>
        <v>519000</v>
      </c>
      <c r="C118" s="99">
        <f>SUM(C119)</f>
        <v>406244.39</v>
      </c>
      <c r="D118" s="93">
        <f t="shared" si="8"/>
        <v>78.27444894026975</v>
      </c>
      <c r="E118" s="94">
        <f t="shared" si="9"/>
        <v>-112755.60999999999</v>
      </c>
    </row>
    <row r="119" spans="1:5" s="59" customFormat="1" ht="13.5" thickBot="1">
      <c r="A119" s="96" t="s">
        <v>42</v>
      </c>
      <c r="B119" s="97">
        <v>519000</v>
      </c>
      <c r="C119" s="104">
        <v>406244.39</v>
      </c>
      <c r="D119" s="78">
        <f t="shared" si="8"/>
        <v>78.27444894026975</v>
      </c>
      <c r="E119" s="79">
        <f t="shared" si="9"/>
        <v>-112755.60999999999</v>
      </c>
    </row>
    <row r="120" spans="1:5" s="59" customFormat="1" ht="19.5" customHeight="1" thickBot="1">
      <c r="A120" s="98" t="s">
        <v>124</v>
      </c>
      <c r="B120" s="182">
        <f>SUM(B121)</f>
        <v>0</v>
      </c>
      <c r="C120" s="182">
        <f>SUM(C121)</f>
        <v>0</v>
      </c>
      <c r="D120" s="93" t="str">
        <f t="shared" si="8"/>
        <v>   </v>
      </c>
      <c r="E120" s="94">
        <f t="shared" si="9"/>
        <v>0</v>
      </c>
    </row>
    <row r="121" spans="1:5" s="59" customFormat="1" ht="16.5" customHeight="1">
      <c r="A121" s="75" t="s">
        <v>43</v>
      </c>
      <c r="B121" s="100">
        <v>0</v>
      </c>
      <c r="C121" s="101">
        <v>0</v>
      </c>
      <c r="D121" s="102" t="str">
        <f t="shared" si="8"/>
        <v>   </v>
      </c>
      <c r="E121" s="103">
        <f t="shared" si="9"/>
        <v>0</v>
      </c>
    </row>
    <row r="122" spans="1:5" s="59" customFormat="1" ht="16.5" customHeight="1">
      <c r="A122" s="30" t="s">
        <v>15</v>
      </c>
      <c r="B122" s="150">
        <f>SUM(B62,B70,B72,B74,B95,B117,B118,B120,)</f>
        <v>9775820.41</v>
      </c>
      <c r="C122" s="150">
        <f>SUM(C62,C70,C72,C74,C95,C117,C118,C120,)</f>
        <v>3148523.7900000005</v>
      </c>
      <c r="D122" s="141">
        <f>IF(B122=0,"   ",C122/B122*100)</f>
        <v>32.20725890974096</v>
      </c>
      <c r="E122" s="142">
        <f>C122-B122</f>
        <v>-6627296.619999999</v>
      </c>
    </row>
    <row r="123" spans="1:5" s="59" customFormat="1" ht="12.75" customHeight="1" hidden="1">
      <c r="A123" s="75" t="s">
        <v>21</v>
      </c>
      <c r="B123" s="76"/>
      <c r="C123" s="77"/>
      <c r="D123" s="78" t="e">
        <f>IF(#REF!=0,"   ",C123/#REF!)</f>
        <v>#REF!</v>
      </c>
      <c r="E123" s="79" t="e">
        <f>C123-#REF!</f>
        <v>#REF!</v>
      </c>
    </row>
    <row r="124" spans="1:5" s="59" customFormat="1" ht="12.75" customHeight="1" hidden="1">
      <c r="A124" s="71" t="s">
        <v>22</v>
      </c>
      <c r="B124" s="72">
        <v>1122919</v>
      </c>
      <c r="C124" s="73">
        <v>815256</v>
      </c>
      <c r="D124" s="65" t="e">
        <f>IF(#REF!=0,"   ",C124/#REF!)</f>
        <v>#REF!</v>
      </c>
      <c r="E124" s="66" t="e">
        <f>C124-#REF!</f>
        <v>#REF!</v>
      </c>
    </row>
    <row r="125" spans="1:5" s="59" customFormat="1" ht="13.5" customHeight="1" hidden="1" thickBot="1">
      <c r="A125" s="71" t="s">
        <v>23</v>
      </c>
      <c r="B125" s="72">
        <v>1700000</v>
      </c>
      <c r="C125" s="95">
        <v>1700000</v>
      </c>
      <c r="D125" s="90" t="e">
        <f>IF(#REF!=0,"   ",C125/#REF!)</f>
        <v>#REF!</v>
      </c>
      <c r="E125" s="91" t="e">
        <f>C125-#REF!</f>
        <v>#REF!</v>
      </c>
    </row>
    <row r="126" spans="1:5" s="59" customFormat="1" ht="33" customHeight="1">
      <c r="A126" s="80" t="s">
        <v>304</v>
      </c>
      <c r="B126" s="80"/>
      <c r="C126" s="309"/>
      <c r="D126" s="309"/>
      <c r="E126" s="309"/>
    </row>
    <row r="127" spans="1:5" s="59" customFormat="1" ht="25.5" customHeight="1">
      <c r="A127" s="80" t="s">
        <v>154</v>
      </c>
      <c r="B127" s="80"/>
      <c r="C127" s="81" t="s">
        <v>247</v>
      </c>
      <c r="D127" s="82"/>
      <c r="E127" s="83"/>
    </row>
    <row r="128" spans="3:5" s="7" customFormat="1" ht="12.75">
      <c r="C128" s="6"/>
      <c r="E128" s="2"/>
    </row>
    <row r="129" spans="3:5" s="7" customFormat="1" ht="12.75">
      <c r="C129" s="6"/>
      <c r="E129" s="2"/>
    </row>
    <row r="130" spans="3:5" s="7" customFormat="1" ht="12.75">
      <c r="C130" s="6"/>
      <c r="E130" s="2"/>
    </row>
    <row r="131" spans="3:5" s="7" customFormat="1" ht="12.75">
      <c r="C131" s="6"/>
      <c r="E131" s="2"/>
    </row>
    <row r="132" spans="3:5" s="7" customFormat="1" ht="12.75">
      <c r="C132" s="6"/>
      <c r="E132" s="2"/>
    </row>
    <row r="133" spans="3:5" s="7" customFormat="1" ht="12.75">
      <c r="C133" s="6"/>
      <c r="E133" s="2"/>
    </row>
    <row r="134" spans="3:5" s="7" customFormat="1" ht="12.75">
      <c r="C134" s="6"/>
      <c r="E134" s="2"/>
    </row>
    <row r="135" spans="3:5" s="7" customFormat="1" ht="12.75">
      <c r="C135" s="6"/>
      <c r="E135" s="2"/>
    </row>
    <row r="136" spans="3:5" s="7" customFormat="1" ht="12.75">
      <c r="C136" s="6"/>
      <c r="E136" s="2"/>
    </row>
    <row r="137" spans="3:5" s="7" customFormat="1" ht="12.75">
      <c r="C137" s="6"/>
      <c r="E137" s="2"/>
    </row>
  </sheetData>
  <sheetProtection/>
  <mergeCells count="2">
    <mergeCell ref="C126:E126"/>
    <mergeCell ref="A1:E1"/>
  </mergeCells>
  <printOptions horizontalCentered="1" verticalCentered="1"/>
  <pageMargins left="0.5905511811023623" right="0.5905511811023623" top="0.15748031496062992" bottom="0.1968503937007874" header="0.11811023622047245" footer="0.11811023622047245"/>
  <pageSetup fitToHeight="2" fitToWidth="1" horizontalDpi="600" verticalDpi="600" orientation="landscape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7"/>
  <sheetViews>
    <sheetView zoomScalePageLayoutView="0" workbookViewId="0" topLeftCell="A34">
      <selection activeCell="C35" sqref="C35"/>
    </sheetView>
  </sheetViews>
  <sheetFormatPr defaultColWidth="9.00390625" defaultRowHeight="12.75"/>
  <cols>
    <col min="1" max="1" width="102.00390625" style="0" customWidth="1"/>
    <col min="2" max="2" width="16.125" style="0" customWidth="1"/>
    <col min="3" max="3" width="20.00390625" style="0" customWidth="1"/>
    <col min="4" max="4" width="19.50390625" style="0" customWidth="1"/>
    <col min="5" max="5" width="19.375" style="0" customWidth="1"/>
  </cols>
  <sheetData>
    <row r="1" spans="1:5" ht="17.25">
      <c r="A1" s="311" t="s">
        <v>323</v>
      </c>
      <c r="B1" s="311"/>
      <c r="C1" s="311"/>
      <c r="D1" s="311"/>
      <c r="E1" s="311"/>
    </row>
    <row r="2" spans="1:5" ht="3" customHeight="1" thickBot="1">
      <c r="A2" s="4"/>
      <c r="B2" s="4"/>
      <c r="C2" s="3"/>
      <c r="D2" s="3"/>
      <c r="E2" s="3"/>
    </row>
    <row r="3" spans="1:5" ht="13.5" hidden="1" thickBot="1">
      <c r="A3" s="4"/>
      <c r="B3" s="4"/>
      <c r="C3" s="5"/>
      <c r="D3" s="4"/>
      <c r="E3" s="4" t="s">
        <v>0</v>
      </c>
    </row>
    <row r="4" spans="1:5" ht="66.75" customHeight="1">
      <c r="A4" s="34" t="s">
        <v>1</v>
      </c>
      <c r="B4" s="19" t="s">
        <v>251</v>
      </c>
      <c r="C4" s="32" t="s">
        <v>317</v>
      </c>
      <c r="D4" s="19" t="s">
        <v>254</v>
      </c>
      <c r="E4" s="36" t="s">
        <v>253</v>
      </c>
    </row>
    <row r="5" spans="1:5" ht="12.75">
      <c r="A5" s="13">
        <v>1</v>
      </c>
      <c r="B5" s="74"/>
      <c r="C5" s="10">
        <v>3</v>
      </c>
      <c r="D5" s="29">
        <v>4</v>
      </c>
      <c r="E5" s="14">
        <v>5</v>
      </c>
    </row>
    <row r="6" spans="1:5" ht="13.5" customHeight="1">
      <c r="A6" s="22" t="s">
        <v>2</v>
      </c>
      <c r="B6" s="11"/>
      <c r="C6" s="12"/>
      <c r="D6" s="25"/>
      <c r="E6" s="15"/>
    </row>
    <row r="7" spans="1:5" ht="18.75" customHeight="1">
      <c r="A7" s="17" t="s">
        <v>45</v>
      </c>
      <c r="B7" s="149">
        <f>SUM(B8)</f>
        <v>27900</v>
      </c>
      <c r="C7" s="149">
        <f>SUM(C8)</f>
        <v>8755.6</v>
      </c>
      <c r="D7" s="26">
        <f aca="true" t="shared" si="0" ref="D7:D91">IF(B7=0,"   ",C7/B7*100)</f>
        <v>31.382078853046597</v>
      </c>
      <c r="E7" s="42">
        <f aca="true" t="shared" si="1" ref="E7:E92">C7-B7</f>
        <v>-19144.4</v>
      </c>
    </row>
    <row r="8" spans="1:5" ht="12.75">
      <c r="A8" s="16" t="s">
        <v>44</v>
      </c>
      <c r="B8" s="84">
        <v>27900</v>
      </c>
      <c r="C8" s="243">
        <v>8755.6</v>
      </c>
      <c r="D8" s="26">
        <f t="shared" si="0"/>
        <v>31.382078853046597</v>
      </c>
      <c r="E8" s="42">
        <f t="shared" si="1"/>
        <v>-19144.4</v>
      </c>
    </row>
    <row r="9" spans="1:5" ht="16.5" customHeight="1">
      <c r="A9" s="64" t="s">
        <v>137</v>
      </c>
      <c r="B9" s="200">
        <f>SUM(B10)</f>
        <v>515900</v>
      </c>
      <c r="C9" s="200">
        <f>SUM(C10)</f>
        <v>408131.5</v>
      </c>
      <c r="D9" s="26">
        <f t="shared" si="0"/>
        <v>79.11058344640433</v>
      </c>
      <c r="E9" s="42">
        <f t="shared" si="1"/>
        <v>-107768.5</v>
      </c>
    </row>
    <row r="10" spans="1:5" ht="12.75">
      <c r="A10" s="41" t="s">
        <v>138</v>
      </c>
      <c r="B10" s="201">
        <v>515900</v>
      </c>
      <c r="C10" s="243">
        <v>408131.5</v>
      </c>
      <c r="D10" s="26">
        <f t="shared" si="0"/>
        <v>79.11058344640433</v>
      </c>
      <c r="E10" s="42">
        <f t="shared" si="1"/>
        <v>-107768.5</v>
      </c>
    </row>
    <row r="11" spans="1:5" ht="16.5" customHeight="1">
      <c r="A11" s="16" t="s">
        <v>7</v>
      </c>
      <c r="B11" s="201">
        <f>SUM(B12:B12)</f>
        <v>0</v>
      </c>
      <c r="C11" s="201">
        <f>SUM(C12:C12)</f>
        <v>529.5</v>
      </c>
      <c r="D11" s="26" t="str">
        <f t="shared" si="0"/>
        <v>   </v>
      </c>
      <c r="E11" s="42">
        <f t="shared" si="1"/>
        <v>529.5</v>
      </c>
    </row>
    <row r="12" spans="1:5" ht="15" customHeight="1">
      <c r="A12" s="16" t="s">
        <v>26</v>
      </c>
      <c r="B12" s="201">
        <v>0</v>
      </c>
      <c r="C12" s="202">
        <v>529.5</v>
      </c>
      <c r="D12" s="26" t="str">
        <f t="shared" si="0"/>
        <v>   </v>
      </c>
      <c r="E12" s="42">
        <f t="shared" si="1"/>
        <v>529.5</v>
      </c>
    </row>
    <row r="13" spans="1:5" ht="15" customHeight="1">
      <c r="A13" s="16" t="s">
        <v>9</v>
      </c>
      <c r="B13" s="201">
        <f>SUM(B14:B15)</f>
        <v>253000</v>
      </c>
      <c r="C13" s="201">
        <f>SUM(C14:C15)</f>
        <v>145598.36000000002</v>
      </c>
      <c r="D13" s="26">
        <f t="shared" si="0"/>
        <v>57.548758893280635</v>
      </c>
      <c r="E13" s="42">
        <f t="shared" si="1"/>
        <v>-107401.63999999998</v>
      </c>
    </row>
    <row r="14" spans="1:5" ht="15" customHeight="1">
      <c r="A14" s="16" t="s">
        <v>111</v>
      </c>
      <c r="B14" s="201">
        <v>28000</v>
      </c>
      <c r="C14" s="243">
        <v>14241.66</v>
      </c>
      <c r="D14" s="26">
        <f t="shared" si="0"/>
        <v>50.86307142857143</v>
      </c>
      <c r="E14" s="42">
        <f t="shared" si="1"/>
        <v>-13758.34</v>
      </c>
    </row>
    <row r="15" spans="1:5" ht="15.75" customHeight="1">
      <c r="A15" s="41" t="s">
        <v>160</v>
      </c>
      <c r="B15" s="201">
        <f>SUM(B16:B17)</f>
        <v>225000</v>
      </c>
      <c r="C15" s="201">
        <f>SUM(C16:C17)</f>
        <v>131356.7</v>
      </c>
      <c r="D15" s="26">
        <f t="shared" si="0"/>
        <v>58.38075555555557</v>
      </c>
      <c r="E15" s="42">
        <f t="shared" si="1"/>
        <v>-93643.29999999999</v>
      </c>
    </row>
    <row r="16" spans="1:5" ht="15.75" customHeight="1">
      <c r="A16" s="41" t="s">
        <v>161</v>
      </c>
      <c r="B16" s="201">
        <v>136000</v>
      </c>
      <c r="C16" s="243">
        <v>68935</v>
      </c>
      <c r="D16" s="26">
        <f t="shared" si="0"/>
        <v>50.6875</v>
      </c>
      <c r="E16" s="42">
        <f t="shared" si="1"/>
        <v>-67065</v>
      </c>
    </row>
    <row r="17" spans="1:5" ht="15.75" customHeight="1">
      <c r="A17" s="41" t="s">
        <v>162</v>
      </c>
      <c r="B17" s="201">
        <v>89000</v>
      </c>
      <c r="C17" s="243">
        <v>62421.7</v>
      </c>
      <c r="D17" s="26">
        <f t="shared" si="0"/>
        <v>70.1367415730337</v>
      </c>
      <c r="E17" s="42">
        <f t="shared" si="1"/>
        <v>-26578.300000000003</v>
      </c>
    </row>
    <row r="18" spans="1:5" ht="15.75" customHeight="1">
      <c r="A18" s="41" t="s">
        <v>196</v>
      </c>
      <c r="B18" s="201">
        <v>0</v>
      </c>
      <c r="C18" s="202">
        <v>0</v>
      </c>
      <c r="D18" s="26" t="str">
        <f t="shared" si="0"/>
        <v>   </v>
      </c>
      <c r="E18" s="42">
        <f t="shared" si="1"/>
        <v>0</v>
      </c>
    </row>
    <row r="19" spans="1:5" ht="28.5" customHeight="1">
      <c r="A19" s="16" t="s">
        <v>89</v>
      </c>
      <c r="B19" s="201">
        <v>0</v>
      </c>
      <c r="C19" s="201">
        <v>0</v>
      </c>
      <c r="D19" s="26" t="str">
        <f t="shared" si="0"/>
        <v>   </v>
      </c>
      <c r="E19" s="42">
        <f t="shared" si="1"/>
        <v>0</v>
      </c>
    </row>
    <row r="20" spans="1:5" ht="25.5" customHeight="1">
      <c r="A20" s="16" t="s">
        <v>28</v>
      </c>
      <c r="B20" s="201">
        <f>SUM(B21:B23)</f>
        <v>230300</v>
      </c>
      <c r="C20" s="201">
        <f>SUM(C21:C23)</f>
        <v>55628.18</v>
      </c>
      <c r="D20" s="26">
        <f t="shared" si="0"/>
        <v>24.154659140251848</v>
      </c>
      <c r="E20" s="42">
        <f t="shared" si="1"/>
        <v>-174671.82</v>
      </c>
    </row>
    <row r="21" spans="1:5" ht="12.75">
      <c r="A21" s="16" t="s">
        <v>151</v>
      </c>
      <c r="B21" s="201">
        <v>0</v>
      </c>
      <c r="C21" s="202">
        <v>0</v>
      </c>
      <c r="D21" s="26" t="str">
        <f t="shared" si="0"/>
        <v>   </v>
      </c>
      <c r="E21" s="42">
        <f t="shared" si="1"/>
        <v>0</v>
      </c>
    </row>
    <row r="22" spans="1:5" ht="26.25">
      <c r="A22" s="16" t="s">
        <v>272</v>
      </c>
      <c r="B22" s="201">
        <v>3000</v>
      </c>
      <c r="C22" s="202">
        <v>3068</v>
      </c>
      <c r="D22" s="26">
        <f>IF(B22=0,"   ",C22/B22*100)</f>
        <v>102.26666666666667</v>
      </c>
      <c r="E22" s="42">
        <f>C22-B22</f>
        <v>68</v>
      </c>
    </row>
    <row r="23" spans="1:5" ht="16.5" customHeight="1">
      <c r="A23" s="41" t="s">
        <v>152</v>
      </c>
      <c r="B23" s="201">
        <v>227300</v>
      </c>
      <c r="C23" s="202">
        <v>52560.18</v>
      </c>
      <c r="D23" s="26">
        <f t="shared" si="0"/>
        <v>23.123704355477344</v>
      </c>
      <c r="E23" s="42">
        <f t="shared" si="1"/>
        <v>-174739.82</v>
      </c>
    </row>
    <row r="24" spans="1:5" ht="17.25" customHeight="1">
      <c r="A24" s="39" t="s">
        <v>91</v>
      </c>
      <c r="B24" s="201">
        <v>0</v>
      </c>
      <c r="C24" s="202">
        <v>0</v>
      </c>
      <c r="D24" s="26" t="str">
        <f t="shared" si="0"/>
        <v>   </v>
      </c>
      <c r="E24" s="42">
        <f t="shared" si="1"/>
        <v>0</v>
      </c>
    </row>
    <row r="25" spans="1:5" ht="14.25" customHeight="1">
      <c r="A25" s="16" t="s">
        <v>78</v>
      </c>
      <c r="B25" s="201">
        <f>SUM(B26)</f>
        <v>0</v>
      </c>
      <c r="C25" s="201">
        <f>SUM(C26)</f>
        <v>0</v>
      </c>
      <c r="D25" s="26" t="str">
        <f t="shared" si="0"/>
        <v>   </v>
      </c>
      <c r="E25" s="42">
        <f t="shared" si="1"/>
        <v>0</v>
      </c>
    </row>
    <row r="26" spans="1:5" ht="27" customHeight="1">
      <c r="A26" s="16" t="s">
        <v>168</v>
      </c>
      <c r="B26" s="200">
        <v>0</v>
      </c>
      <c r="C26" s="202">
        <v>0</v>
      </c>
      <c r="D26" s="26" t="str">
        <f t="shared" si="0"/>
        <v>   </v>
      </c>
      <c r="E26" s="42">
        <f t="shared" si="1"/>
        <v>0</v>
      </c>
    </row>
    <row r="27" spans="1:5" ht="15.75" customHeight="1">
      <c r="A27" s="16" t="s">
        <v>32</v>
      </c>
      <c r="B27" s="201">
        <f>SUM(B29)</f>
        <v>0</v>
      </c>
      <c r="C27" s="201">
        <f>C29+C28</f>
        <v>0</v>
      </c>
      <c r="D27" s="26" t="str">
        <f t="shared" si="0"/>
        <v>   </v>
      </c>
      <c r="E27" s="42">
        <f t="shared" si="1"/>
        <v>0</v>
      </c>
    </row>
    <row r="28" spans="1:5" ht="15.75" customHeight="1">
      <c r="A28" s="16" t="s">
        <v>126</v>
      </c>
      <c r="B28" s="201">
        <v>0</v>
      </c>
      <c r="C28" s="201">
        <v>0</v>
      </c>
      <c r="D28" s="26"/>
      <c r="E28" s="42">
        <f t="shared" si="1"/>
        <v>0</v>
      </c>
    </row>
    <row r="29" spans="1:5" ht="17.25" customHeight="1">
      <c r="A29" s="16" t="s">
        <v>50</v>
      </c>
      <c r="B29" s="201">
        <v>0</v>
      </c>
      <c r="C29" s="202">
        <v>0</v>
      </c>
      <c r="D29" s="26" t="str">
        <f t="shared" si="0"/>
        <v>   </v>
      </c>
      <c r="E29" s="42">
        <f t="shared" si="1"/>
        <v>0</v>
      </c>
    </row>
    <row r="30" spans="1:5" ht="24" customHeight="1">
      <c r="A30" s="173" t="s">
        <v>10</v>
      </c>
      <c r="B30" s="175">
        <f>B7+B11+B13+B20+B24+B25+B27+B9+B19+B18</f>
        <v>1027100</v>
      </c>
      <c r="C30" s="175">
        <f>C7+C11+C13+C20+C24+C25+C27+C9+C19+C18</f>
        <v>618643.14</v>
      </c>
      <c r="D30" s="141">
        <f t="shared" si="0"/>
        <v>60.232026092882876</v>
      </c>
      <c r="E30" s="142">
        <f t="shared" si="1"/>
        <v>-408456.86</v>
      </c>
    </row>
    <row r="31" spans="1:5" ht="21" customHeight="1">
      <c r="A31" s="181" t="s">
        <v>140</v>
      </c>
      <c r="B31" s="189">
        <f>SUM(B32:B35,B38,B39,B43+B44+B45)</f>
        <v>3491590</v>
      </c>
      <c r="C31" s="189">
        <f>SUM(C32:C35,C38,C39,C43+C44+C45)</f>
        <v>1397686.45</v>
      </c>
      <c r="D31" s="141">
        <f t="shared" si="0"/>
        <v>40.03008514745431</v>
      </c>
      <c r="E31" s="142">
        <f t="shared" si="1"/>
        <v>-2093903.55</v>
      </c>
    </row>
    <row r="32" spans="1:5" ht="15.75" customHeight="1">
      <c r="A32" s="17" t="s">
        <v>34</v>
      </c>
      <c r="B32" s="160">
        <v>876800</v>
      </c>
      <c r="C32" s="243">
        <v>729800</v>
      </c>
      <c r="D32" s="26">
        <f t="shared" si="0"/>
        <v>83.2344890510949</v>
      </c>
      <c r="E32" s="42">
        <f t="shared" si="1"/>
        <v>-147000</v>
      </c>
    </row>
    <row r="33" spans="1:5" ht="15.75" customHeight="1">
      <c r="A33" s="17" t="s">
        <v>229</v>
      </c>
      <c r="B33" s="160">
        <v>0</v>
      </c>
      <c r="C33" s="243">
        <v>0</v>
      </c>
      <c r="D33" s="26" t="str">
        <f>IF(B33=0,"   ",C33/B33*100)</f>
        <v>   </v>
      </c>
      <c r="E33" s="42">
        <f>C33-B33</f>
        <v>0</v>
      </c>
    </row>
    <row r="34" spans="1:5" ht="26.25" customHeight="1">
      <c r="A34" s="134" t="s">
        <v>51</v>
      </c>
      <c r="B34" s="135">
        <v>90300</v>
      </c>
      <c r="C34" s="237">
        <v>82200</v>
      </c>
      <c r="D34" s="136">
        <f t="shared" si="0"/>
        <v>91.0299003322259</v>
      </c>
      <c r="E34" s="137">
        <f t="shared" si="1"/>
        <v>-8100</v>
      </c>
    </row>
    <row r="35" spans="1:5" ht="29.25" customHeight="1">
      <c r="A35" s="109" t="s">
        <v>148</v>
      </c>
      <c r="B35" s="201">
        <f>SUM(B36:B37)</f>
        <v>6600</v>
      </c>
      <c r="C35" s="201">
        <f>SUM(C36:C37)</f>
        <v>0</v>
      </c>
      <c r="D35" s="26">
        <f t="shared" si="0"/>
        <v>0</v>
      </c>
      <c r="E35" s="42">
        <f t="shared" si="1"/>
        <v>-6600</v>
      </c>
    </row>
    <row r="36" spans="1:5" ht="14.25" customHeight="1">
      <c r="A36" s="109" t="s">
        <v>163</v>
      </c>
      <c r="B36" s="201">
        <v>0</v>
      </c>
      <c r="C36" s="202">
        <v>0</v>
      </c>
      <c r="D36" s="26" t="str">
        <f>IF(B36=0,"   ",C36/B36*100)</f>
        <v>   </v>
      </c>
      <c r="E36" s="42">
        <f>C36-B36</f>
        <v>0</v>
      </c>
    </row>
    <row r="37" spans="1:5" ht="29.25" customHeight="1">
      <c r="A37" s="109" t="s">
        <v>164</v>
      </c>
      <c r="B37" s="201">
        <v>6600</v>
      </c>
      <c r="C37" s="202">
        <v>0</v>
      </c>
      <c r="D37" s="26">
        <f>IF(B37=0,"   ",C37/B37*100)</f>
        <v>0</v>
      </c>
      <c r="E37" s="42">
        <f>C37-B37</f>
        <v>-6600</v>
      </c>
    </row>
    <row r="38" spans="1:5" ht="54.75" customHeight="1">
      <c r="A38" s="16" t="s">
        <v>238</v>
      </c>
      <c r="B38" s="201">
        <v>491300</v>
      </c>
      <c r="C38" s="202">
        <v>488853.45</v>
      </c>
      <c r="D38" s="26">
        <f>IF(B38=0,"   ",C38/B38*100)</f>
        <v>99.50202523916141</v>
      </c>
      <c r="E38" s="42">
        <f>C38-B38</f>
        <v>-2446.5499999999884</v>
      </c>
    </row>
    <row r="39" spans="1:5" ht="18" customHeight="1">
      <c r="A39" s="16" t="s">
        <v>82</v>
      </c>
      <c r="B39" s="201">
        <f>B42+B40+B41</f>
        <v>1626590</v>
      </c>
      <c r="C39" s="201">
        <f>C42+C40</f>
        <v>96833</v>
      </c>
      <c r="D39" s="26">
        <f t="shared" si="0"/>
        <v>5.953128938454066</v>
      </c>
      <c r="E39" s="42">
        <f t="shared" si="1"/>
        <v>-1529757</v>
      </c>
    </row>
    <row r="40" spans="1:5" ht="27" customHeight="1">
      <c r="A40" s="46" t="s">
        <v>188</v>
      </c>
      <c r="B40" s="201">
        <v>0</v>
      </c>
      <c r="C40" s="201">
        <v>0</v>
      </c>
      <c r="D40" s="26" t="str">
        <f>IF(B40=0,"   ",C40/B40*100)</f>
        <v>   </v>
      </c>
      <c r="E40" s="42">
        <f>C40-B40</f>
        <v>0</v>
      </c>
    </row>
    <row r="41" spans="1:5" ht="27" customHeight="1">
      <c r="A41" s="46" t="s">
        <v>296</v>
      </c>
      <c r="B41" s="201">
        <v>1307090</v>
      </c>
      <c r="C41" s="201">
        <v>0</v>
      </c>
      <c r="D41" s="26">
        <f>IF(B41=0,"   ",C41/B41*100)</f>
        <v>0</v>
      </c>
      <c r="E41" s="42">
        <f>C41-B41</f>
        <v>-1307090</v>
      </c>
    </row>
    <row r="42" spans="1:5" ht="17.25" customHeight="1">
      <c r="A42" s="16" t="s">
        <v>109</v>
      </c>
      <c r="B42" s="201">
        <v>319500</v>
      </c>
      <c r="C42" s="201">
        <v>96833</v>
      </c>
      <c r="D42" s="26">
        <f t="shared" si="0"/>
        <v>30.307668231611895</v>
      </c>
      <c r="E42" s="42">
        <f t="shared" si="1"/>
        <v>-222667</v>
      </c>
    </row>
    <row r="43" spans="1:5" ht="30.75" customHeight="1">
      <c r="A43" s="16" t="s">
        <v>298</v>
      </c>
      <c r="B43" s="201">
        <v>400000</v>
      </c>
      <c r="C43" s="201">
        <v>0</v>
      </c>
      <c r="D43" s="26">
        <f t="shared" si="0"/>
        <v>0</v>
      </c>
      <c r="E43" s="42">
        <f t="shared" si="1"/>
        <v>-400000</v>
      </c>
    </row>
    <row r="44" spans="1:5" s="7" customFormat="1" ht="42" customHeight="1">
      <c r="A44" s="16" t="s">
        <v>103</v>
      </c>
      <c r="B44" s="201">
        <v>0</v>
      </c>
      <c r="C44" s="202">
        <v>0</v>
      </c>
      <c r="D44" s="26" t="str">
        <f t="shared" si="0"/>
        <v>   </v>
      </c>
      <c r="E44" s="40">
        <f t="shared" si="1"/>
        <v>0</v>
      </c>
    </row>
    <row r="45" spans="1:5" s="7" customFormat="1" ht="21" customHeight="1">
      <c r="A45" s="16" t="s">
        <v>199</v>
      </c>
      <c r="B45" s="201">
        <v>0</v>
      </c>
      <c r="C45" s="202">
        <v>0</v>
      </c>
      <c r="D45" s="26" t="str">
        <f t="shared" si="0"/>
        <v>   </v>
      </c>
      <c r="E45" s="40">
        <f t="shared" si="1"/>
        <v>0</v>
      </c>
    </row>
    <row r="46" spans="1:5" ht="26.25" customHeight="1">
      <c r="A46" s="173" t="s">
        <v>11</v>
      </c>
      <c r="B46" s="150">
        <f>SUM(B30,B31,)</f>
        <v>4518690</v>
      </c>
      <c r="C46" s="150">
        <f>SUM(C30,C31,)</f>
        <v>2016329.5899999999</v>
      </c>
      <c r="D46" s="141">
        <f t="shared" si="0"/>
        <v>44.62199420628545</v>
      </c>
      <c r="E46" s="142">
        <f t="shared" si="1"/>
        <v>-2502360.41</v>
      </c>
    </row>
    <row r="47" spans="1:5" ht="14.25" customHeight="1">
      <c r="A47" s="30"/>
      <c r="B47" s="160"/>
      <c r="C47" s="152"/>
      <c r="D47" s="26" t="str">
        <f t="shared" si="0"/>
        <v>   </v>
      </c>
      <c r="E47" s="42"/>
    </row>
    <row r="48" spans="1:5" ht="12.75">
      <c r="A48" s="22" t="s">
        <v>12</v>
      </c>
      <c r="B48" s="44"/>
      <c r="C48" s="45"/>
      <c r="D48" s="26" t="str">
        <f t="shared" si="0"/>
        <v>   </v>
      </c>
      <c r="E48" s="42"/>
    </row>
    <row r="49" spans="1:5" ht="18.75" customHeight="1">
      <c r="A49" s="16" t="s">
        <v>35</v>
      </c>
      <c r="B49" s="27">
        <f>SUM(B50,B53,B54)</f>
        <v>1127100</v>
      </c>
      <c r="C49" s="27">
        <f>SUM(C50,C54)</f>
        <v>833839.4</v>
      </c>
      <c r="D49" s="26">
        <f t="shared" si="0"/>
        <v>73.98095998580428</v>
      </c>
      <c r="E49" s="42">
        <f t="shared" si="1"/>
        <v>-293260.6</v>
      </c>
    </row>
    <row r="50" spans="1:5" ht="16.5" customHeight="1">
      <c r="A50" s="16" t="s">
        <v>36</v>
      </c>
      <c r="B50" s="25">
        <v>1126600</v>
      </c>
      <c r="C50" s="25">
        <v>833839.4</v>
      </c>
      <c r="D50" s="26">
        <f t="shared" si="0"/>
        <v>74.01379371560448</v>
      </c>
      <c r="E50" s="42">
        <f t="shared" si="1"/>
        <v>-292760.6</v>
      </c>
    </row>
    <row r="51" spans="1:5" ht="12.75">
      <c r="A51" s="85" t="s">
        <v>122</v>
      </c>
      <c r="B51" s="25">
        <v>765438</v>
      </c>
      <c r="C51" s="28">
        <v>587653.45</v>
      </c>
      <c r="D51" s="26">
        <f t="shared" si="0"/>
        <v>76.77348785923876</v>
      </c>
      <c r="E51" s="42">
        <f t="shared" si="1"/>
        <v>-177784.55000000005</v>
      </c>
    </row>
    <row r="52" spans="1:5" ht="12.75">
      <c r="A52" s="85" t="s">
        <v>288</v>
      </c>
      <c r="B52" s="25">
        <v>0</v>
      </c>
      <c r="C52" s="28">
        <v>0</v>
      </c>
      <c r="D52" s="26" t="str">
        <f>IF(B52=0,"   ",C52/B52*100)</f>
        <v>   </v>
      </c>
      <c r="E52" s="42">
        <f>C52-B52</f>
        <v>0</v>
      </c>
    </row>
    <row r="53" spans="1:5" ht="12.75">
      <c r="A53" s="16" t="s">
        <v>102</v>
      </c>
      <c r="B53" s="25">
        <v>500</v>
      </c>
      <c r="C53" s="27">
        <v>0</v>
      </c>
      <c r="D53" s="26">
        <f t="shared" si="0"/>
        <v>0</v>
      </c>
      <c r="E53" s="42">
        <f t="shared" si="1"/>
        <v>-500</v>
      </c>
    </row>
    <row r="54" spans="1:5" ht="12.75">
      <c r="A54" s="16" t="s">
        <v>52</v>
      </c>
      <c r="B54" s="27">
        <f>SUM(B55)</f>
        <v>0</v>
      </c>
      <c r="C54" s="27">
        <f>SUM(C55)</f>
        <v>0</v>
      </c>
      <c r="D54" s="26" t="str">
        <f t="shared" si="0"/>
        <v>   </v>
      </c>
      <c r="E54" s="42">
        <f t="shared" si="1"/>
        <v>0</v>
      </c>
    </row>
    <row r="55" spans="1:5" ht="26.25">
      <c r="A55" s="105" t="s">
        <v>244</v>
      </c>
      <c r="B55" s="25">
        <v>0</v>
      </c>
      <c r="C55" s="27">
        <v>0</v>
      </c>
      <c r="D55" s="26" t="str">
        <f t="shared" si="0"/>
        <v>   </v>
      </c>
      <c r="E55" s="42">
        <f t="shared" si="1"/>
        <v>0</v>
      </c>
    </row>
    <row r="56" spans="1:5" ht="19.5" customHeight="1">
      <c r="A56" s="16" t="s">
        <v>49</v>
      </c>
      <c r="B56" s="27">
        <f>SUM(B57)</f>
        <v>90300</v>
      </c>
      <c r="C56" s="27">
        <f>SUM(C57)</f>
        <v>69479.67</v>
      </c>
      <c r="D56" s="26">
        <f t="shared" si="0"/>
        <v>76.9431561461794</v>
      </c>
      <c r="E56" s="42">
        <f t="shared" si="1"/>
        <v>-20820.33</v>
      </c>
    </row>
    <row r="57" spans="1:5" ht="19.5" customHeight="1">
      <c r="A57" s="16" t="s">
        <v>107</v>
      </c>
      <c r="B57" s="25">
        <v>90300</v>
      </c>
      <c r="C57" s="27">
        <v>69479.67</v>
      </c>
      <c r="D57" s="26">
        <f t="shared" si="0"/>
        <v>76.9431561461794</v>
      </c>
      <c r="E57" s="42">
        <f t="shared" si="1"/>
        <v>-20820.33</v>
      </c>
    </row>
    <row r="58" spans="1:5" ht="16.5" customHeight="1">
      <c r="A58" s="16" t="s">
        <v>37</v>
      </c>
      <c r="B58" s="25">
        <f>SUM(B59)</f>
        <v>1000</v>
      </c>
      <c r="C58" s="27">
        <f>SUM(C59)</f>
        <v>1000</v>
      </c>
      <c r="D58" s="26">
        <f t="shared" si="0"/>
        <v>100</v>
      </c>
      <c r="E58" s="42">
        <f t="shared" si="1"/>
        <v>0</v>
      </c>
    </row>
    <row r="59" spans="1:5" ht="15" customHeight="1">
      <c r="A59" s="41" t="s">
        <v>128</v>
      </c>
      <c r="B59" s="25">
        <v>1000</v>
      </c>
      <c r="C59" s="27">
        <v>1000</v>
      </c>
      <c r="D59" s="26">
        <f t="shared" si="0"/>
        <v>100</v>
      </c>
      <c r="E59" s="42">
        <f t="shared" si="1"/>
        <v>0</v>
      </c>
    </row>
    <row r="60" spans="1:5" ht="19.5" customHeight="1">
      <c r="A60" s="16" t="s">
        <v>38</v>
      </c>
      <c r="B60" s="25">
        <f>B64+B61+B72</f>
        <v>1438241.55</v>
      </c>
      <c r="C60" s="25">
        <f>C64+C61+C72</f>
        <v>681340.5199999999</v>
      </c>
      <c r="D60" s="26">
        <f t="shared" si="0"/>
        <v>47.373163430023276</v>
      </c>
      <c r="E60" s="42">
        <f t="shared" si="1"/>
        <v>-756901.0300000001</v>
      </c>
    </row>
    <row r="61" spans="1:5" ht="19.5" customHeight="1">
      <c r="A61" s="75" t="s">
        <v>165</v>
      </c>
      <c r="B61" s="25">
        <f>SUM(B63,B62)</f>
        <v>6600</v>
      </c>
      <c r="C61" s="25">
        <f>SUM(C63,C62)</f>
        <v>0</v>
      </c>
      <c r="D61" s="26">
        <f>IF(B61=0,"   ",C61/B61*100)</f>
        <v>0</v>
      </c>
      <c r="E61" s="42">
        <f>C61-B61</f>
        <v>-6600</v>
      </c>
    </row>
    <row r="62" spans="1:5" ht="15" customHeight="1">
      <c r="A62" s="75" t="s">
        <v>169</v>
      </c>
      <c r="B62" s="25">
        <v>0</v>
      </c>
      <c r="C62" s="25">
        <v>0</v>
      </c>
      <c r="D62" s="26" t="str">
        <f>IF(B62=0,"   ",C62/B62*100)</f>
        <v>   </v>
      </c>
      <c r="E62" s="42">
        <f>C62-B62</f>
        <v>0</v>
      </c>
    </row>
    <row r="63" spans="1:5" ht="13.5" customHeight="1">
      <c r="A63" s="75" t="s">
        <v>166</v>
      </c>
      <c r="B63" s="25">
        <v>6600</v>
      </c>
      <c r="C63" s="25">
        <v>0</v>
      </c>
      <c r="D63" s="26">
        <f>IF(B63=0,"   ",C63/B63*100)</f>
        <v>0</v>
      </c>
      <c r="E63" s="42">
        <f>C63-B63</f>
        <v>-6600</v>
      </c>
    </row>
    <row r="64" spans="1:5" ht="12.75">
      <c r="A64" s="96" t="s">
        <v>131</v>
      </c>
      <c r="B64" s="25">
        <f>SUM(B65:B71)</f>
        <v>1391741.55</v>
      </c>
      <c r="C64" s="25">
        <f>SUM(C65:C71)</f>
        <v>651045.45</v>
      </c>
      <c r="D64" s="26">
        <f t="shared" si="0"/>
        <v>46.77919186935246</v>
      </c>
      <c r="E64" s="42">
        <f t="shared" si="1"/>
        <v>-740696.1000000001</v>
      </c>
    </row>
    <row r="65" spans="1:5" ht="19.5" customHeight="1">
      <c r="A65" s="75" t="s">
        <v>149</v>
      </c>
      <c r="B65" s="25">
        <v>0</v>
      </c>
      <c r="C65" s="25">
        <v>0</v>
      </c>
      <c r="D65" s="26" t="str">
        <f t="shared" si="0"/>
        <v>   </v>
      </c>
      <c r="E65" s="42">
        <f t="shared" si="1"/>
        <v>0</v>
      </c>
    </row>
    <row r="66" spans="1:5" ht="25.5" customHeight="1">
      <c r="A66" s="71" t="s">
        <v>257</v>
      </c>
      <c r="B66" s="25">
        <v>442341.55</v>
      </c>
      <c r="C66" s="25">
        <v>0</v>
      </c>
      <c r="D66" s="26">
        <f t="shared" si="0"/>
        <v>0</v>
      </c>
      <c r="E66" s="42">
        <f t="shared" si="1"/>
        <v>-442341.55</v>
      </c>
    </row>
    <row r="67" spans="1:5" ht="27.75" customHeight="1">
      <c r="A67" s="71" t="s">
        <v>258</v>
      </c>
      <c r="B67" s="25">
        <v>48500</v>
      </c>
      <c r="C67" s="25">
        <v>0</v>
      </c>
      <c r="D67" s="26">
        <f t="shared" si="0"/>
        <v>0</v>
      </c>
      <c r="E67" s="42">
        <f t="shared" si="1"/>
        <v>-48500</v>
      </c>
    </row>
    <row r="68" spans="1:5" ht="31.5" customHeight="1">
      <c r="A68" s="71" t="s">
        <v>259</v>
      </c>
      <c r="B68" s="25">
        <v>491300</v>
      </c>
      <c r="C68" s="25">
        <v>488853.45</v>
      </c>
      <c r="D68" s="26">
        <f t="shared" si="0"/>
        <v>99.50202523916141</v>
      </c>
      <c r="E68" s="42">
        <f t="shared" si="1"/>
        <v>-2446.5499999999884</v>
      </c>
    </row>
    <row r="69" spans="1:5" ht="27.75" customHeight="1">
      <c r="A69" s="71" t="s">
        <v>260</v>
      </c>
      <c r="B69" s="25">
        <v>54600</v>
      </c>
      <c r="C69" s="25">
        <v>54600</v>
      </c>
      <c r="D69" s="26">
        <f t="shared" si="0"/>
        <v>100</v>
      </c>
      <c r="E69" s="42">
        <f t="shared" si="1"/>
        <v>0</v>
      </c>
    </row>
    <row r="70" spans="1:5" ht="28.5" customHeight="1">
      <c r="A70" s="71" t="s">
        <v>261</v>
      </c>
      <c r="B70" s="25">
        <v>319500</v>
      </c>
      <c r="C70" s="25">
        <v>96833</v>
      </c>
      <c r="D70" s="26">
        <f t="shared" si="0"/>
        <v>30.307668231611895</v>
      </c>
      <c r="E70" s="42">
        <f t="shared" si="1"/>
        <v>-222667</v>
      </c>
    </row>
    <row r="71" spans="1:5" ht="30" customHeight="1">
      <c r="A71" s="71" t="s">
        <v>262</v>
      </c>
      <c r="B71" s="25">
        <v>35500</v>
      </c>
      <c r="C71" s="25">
        <v>10759</v>
      </c>
      <c r="D71" s="26">
        <f t="shared" si="0"/>
        <v>30.30704225352113</v>
      </c>
      <c r="E71" s="42">
        <f t="shared" si="1"/>
        <v>-24741</v>
      </c>
    </row>
    <row r="72" spans="1:5" ht="24" customHeight="1">
      <c r="A72" s="96" t="s">
        <v>177</v>
      </c>
      <c r="B72" s="25">
        <f>SUM(B73)</f>
        <v>39900</v>
      </c>
      <c r="C72" s="25">
        <f>SUM(C73)</f>
        <v>30295.07</v>
      </c>
      <c r="D72" s="26">
        <f>IF(B72=0,"   ",C72/B72*100)</f>
        <v>75.92749373433584</v>
      </c>
      <c r="E72" s="42">
        <f>C72-B72</f>
        <v>-9604.93</v>
      </c>
    </row>
    <row r="73" spans="1:5" ht="30" customHeight="1">
      <c r="A73" s="75" t="s">
        <v>178</v>
      </c>
      <c r="B73" s="25">
        <v>39900</v>
      </c>
      <c r="C73" s="25">
        <v>30295.07</v>
      </c>
      <c r="D73" s="26">
        <f>IF(B73=0,"   ",C73/B73*100)</f>
        <v>75.92749373433584</v>
      </c>
      <c r="E73" s="42">
        <f>C73-B73</f>
        <v>-9604.93</v>
      </c>
    </row>
    <row r="74" spans="1:5" ht="15" customHeight="1">
      <c r="A74" s="16" t="s">
        <v>13</v>
      </c>
      <c r="B74" s="25">
        <f>SUM(B77,B75)</f>
        <v>1849708.75</v>
      </c>
      <c r="C74" s="25">
        <f>SUM(C77,C75)</f>
        <v>104152.92</v>
      </c>
      <c r="D74" s="26">
        <f t="shared" si="0"/>
        <v>5.630774034020221</v>
      </c>
      <c r="E74" s="42">
        <f t="shared" si="1"/>
        <v>-1745555.83</v>
      </c>
    </row>
    <row r="75" spans="1:5" ht="15.75" customHeight="1">
      <c r="A75" s="16" t="s">
        <v>90</v>
      </c>
      <c r="B75" s="25">
        <f>B76</f>
        <v>1307090</v>
      </c>
      <c r="C75" s="25">
        <f>C76</f>
        <v>0</v>
      </c>
      <c r="D75" s="26">
        <f>IF(B75=0,"   ",C75/B75*100)</f>
        <v>0</v>
      </c>
      <c r="E75" s="42">
        <f>C75-B75</f>
        <v>-1307090</v>
      </c>
    </row>
    <row r="76" spans="1:5" ht="25.5" customHeight="1">
      <c r="A76" s="16" t="s">
        <v>301</v>
      </c>
      <c r="B76" s="25">
        <v>1307090</v>
      </c>
      <c r="C76" s="25">
        <v>0</v>
      </c>
      <c r="D76" s="26">
        <f>IF(B76=0,"   ",C76/B76*100)</f>
        <v>0</v>
      </c>
      <c r="E76" s="42">
        <f>C76-B76</f>
        <v>-1307090</v>
      </c>
    </row>
    <row r="77" spans="1:5" ht="12.75">
      <c r="A77" s="16" t="s">
        <v>58</v>
      </c>
      <c r="B77" s="25">
        <f>B78+B80+B79+B81</f>
        <v>542618.75</v>
      </c>
      <c r="C77" s="25">
        <f>C78+C80+C79+C81</f>
        <v>104152.92</v>
      </c>
      <c r="D77" s="26">
        <f t="shared" si="0"/>
        <v>19.194493371266656</v>
      </c>
      <c r="E77" s="42">
        <f t="shared" si="1"/>
        <v>-438465.83</v>
      </c>
    </row>
    <row r="78" spans="1:5" ht="12.75">
      <c r="A78" s="16" t="s">
        <v>60</v>
      </c>
      <c r="B78" s="25">
        <v>140000</v>
      </c>
      <c r="C78" s="27">
        <v>104152.92</v>
      </c>
      <c r="D78" s="26">
        <f t="shared" si="0"/>
        <v>74.39494285714285</v>
      </c>
      <c r="E78" s="42">
        <f t="shared" si="1"/>
        <v>-35847.08</v>
      </c>
    </row>
    <row r="79" spans="1:5" ht="26.25">
      <c r="A79" s="105" t="s">
        <v>302</v>
      </c>
      <c r="B79" s="25">
        <v>400000</v>
      </c>
      <c r="C79" s="27">
        <v>0</v>
      </c>
      <c r="D79" s="26">
        <f t="shared" si="0"/>
        <v>0</v>
      </c>
      <c r="E79" s="42">
        <f t="shared" si="1"/>
        <v>-400000</v>
      </c>
    </row>
    <row r="80" spans="1:5" ht="12.75">
      <c r="A80" s="16" t="s">
        <v>59</v>
      </c>
      <c r="B80" s="25">
        <v>2618.75</v>
      </c>
      <c r="C80" s="27">
        <v>0</v>
      </c>
      <c r="D80" s="26">
        <f t="shared" si="0"/>
        <v>0</v>
      </c>
      <c r="E80" s="42">
        <f t="shared" si="1"/>
        <v>-2618.75</v>
      </c>
    </row>
    <row r="81" spans="1:5" ht="26.25">
      <c r="A81" s="105" t="s">
        <v>206</v>
      </c>
      <c r="B81" s="25">
        <f>B82+B83+B84</f>
        <v>0</v>
      </c>
      <c r="C81" s="25">
        <f>C82+C83+C84</f>
        <v>0</v>
      </c>
      <c r="D81" s="26" t="str">
        <f>IF(B81=0,"   ",C81/B81*100)</f>
        <v>   </v>
      </c>
      <c r="E81" s="42">
        <f>C81-B81</f>
        <v>0</v>
      </c>
    </row>
    <row r="82" spans="1:5" ht="26.25">
      <c r="A82" s="105" t="s">
        <v>187</v>
      </c>
      <c r="B82" s="25">
        <v>0</v>
      </c>
      <c r="C82" s="27">
        <v>0</v>
      </c>
      <c r="D82" s="26" t="str">
        <f>IF(B82=0,"   ",C82/B82*100)</f>
        <v>   </v>
      </c>
      <c r="E82" s="42">
        <f>C82-B82</f>
        <v>0</v>
      </c>
    </row>
    <row r="83" spans="1:5" ht="26.25">
      <c r="A83" s="105" t="s">
        <v>200</v>
      </c>
      <c r="B83" s="25">
        <v>0</v>
      </c>
      <c r="C83" s="27">
        <v>0</v>
      </c>
      <c r="D83" s="26" t="str">
        <f>IF(B83=0,"   ",C83/B83*100)</f>
        <v>   </v>
      </c>
      <c r="E83" s="42">
        <f>C83-B83</f>
        <v>0</v>
      </c>
    </row>
    <row r="84" spans="1:5" ht="24.75" customHeight="1">
      <c r="A84" s="105" t="s">
        <v>212</v>
      </c>
      <c r="B84" s="31">
        <v>0</v>
      </c>
      <c r="C84" s="31">
        <v>0</v>
      </c>
      <c r="D84" s="26" t="str">
        <f t="shared" si="0"/>
        <v>   </v>
      </c>
      <c r="E84" s="42">
        <f t="shared" si="1"/>
        <v>0</v>
      </c>
    </row>
    <row r="85" spans="1:5" ht="24.75" customHeight="1">
      <c r="A85" s="18" t="s">
        <v>17</v>
      </c>
      <c r="B85" s="31">
        <v>8000</v>
      </c>
      <c r="C85" s="31">
        <v>0</v>
      </c>
      <c r="D85" s="26">
        <f t="shared" si="0"/>
        <v>0</v>
      </c>
      <c r="E85" s="42">
        <f t="shared" si="1"/>
        <v>-8000</v>
      </c>
    </row>
    <row r="86" spans="1:5" ht="15" customHeight="1">
      <c r="A86" s="16" t="s">
        <v>41</v>
      </c>
      <c r="B86" s="24">
        <f>SUM(B87,)</f>
        <v>50000</v>
      </c>
      <c r="C86" s="24">
        <f>SUM(C87,)</f>
        <v>50000</v>
      </c>
      <c r="D86" s="26">
        <f t="shared" si="0"/>
        <v>100</v>
      </c>
      <c r="E86" s="42">
        <f t="shared" si="1"/>
        <v>0</v>
      </c>
    </row>
    <row r="87" spans="1:5" ht="12.75">
      <c r="A87" s="16" t="s">
        <v>42</v>
      </c>
      <c r="B87" s="25">
        <v>50000</v>
      </c>
      <c r="C87" s="27">
        <v>50000</v>
      </c>
      <c r="D87" s="26">
        <f t="shared" si="0"/>
        <v>100</v>
      </c>
      <c r="E87" s="42">
        <f t="shared" si="1"/>
        <v>0</v>
      </c>
    </row>
    <row r="88" spans="1:5" ht="12.75">
      <c r="A88" s="16" t="s">
        <v>233</v>
      </c>
      <c r="B88" s="24">
        <f>SUM(B89,)</f>
        <v>6000</v>
      </c>
      <c r="C88" s="24">
        <f>SUM(C89,)</f>
        <v>1219.77</v>
      </c>
      <c r="D88" s="26">
        <f>IF(B88=0,"   ",C88/B88*100)</f>
        <v>20.3295</v>
      </c>
      <c r="E88" s="42">
        <f>C88-B88</f>
        <v>-4780.23</v>
      </c>
    </row>
    <row r="89" spans="1:5" ht="12.75">
      <c r="A89" s="16" t="s">
        <v>234</v>
      </c>
      <c r="B89" s="25">
        <v>6000</v>
      </c>
      <c r="C89" s="27">
        <v>1219.77</v>
      </c>
      <c r="D89" s="26">
        <f>IF(B89=0,"   ",C89/B89*100)</f>
        <v>20.3295</v>
      </c>
      <c r="E89" s="42">
        <f>C89-B89</f>
        <v>-4780.23</v>
      </c>
    </row>
    <row r="90" spans="1:5" ht="18" customHeight="1">
      <c r="A90" s="16" t="s">
        <v>124</v>
      </c>
      <c r="B90" s="24">
        <f>SUM(B91,)</f>
        <v>16000</v>
      </c>
      <c r="C90" s="24">
        <f>SUM(C91,)</f>
        <v>0</v>
      </c>
      <c r="D90" s="26">
        <f t="shared" si="0"/>
        <v>0</v>
      </c>
      <c r="E90" s="42">
        <f t="shared" si="1"/>
        <v>-16000</v>
      </c>
    </row>
    <row r="91" spans="1:5" ht="12.75">
      <c r="A91" s="16" t="s">
        <v>43</v>
      </c>
      <c r="B91" s="199">
        <v>16000</v>
      </c>
      <c r="C91" s="28">
        <v>0</v>
      </c>
      <c r="D91" s="26">
        <f t="shared" si="0"/>
        <v>0</v>
      </c>
      <c r="E91" s="42">
        <f t="shared" si="1"/>
        <v>-16000</v>
      </c>
    </row>
    <row r="92" spans="1:5" ht="21" customHeight="1">
      <c r="A92" s="173" t="s">
        <v>15</v>
      </c>
      <c r="B92" s="150">
        <f>SUM(B49,B56,B58,B60,B74,B85,B86,B88,B90,)</f>
        <v>4586350.3</v>
      </c>
      <c r="C92" s="150">
        <f>SUM(C49,C56,C58,C60,C74,C85,C86,C88,C90,)</f>
        <v>1741032.2799999998</v>
      </c>
      <c r="D92" s="141">
        <f>IF(B92=0,"   ",C92/B92*100)</f>
        <v>37.961170999083954</v>
      </c>
      <c r="E92" s="142">
        <f t="shared" si="1"/>
        <v>-2845318.02</v>
      </c>
    </row>
    <row r="93" spans="1:5" s="59" customFormat="1" ht="23.25" customHeight="1">
      <c r="A93" s="80" t="s">
        <v>304</v>
      </c>
      <c r="B93" s="80"/>
      <c r="C93" s="309"/>
      <c r="D93" s="309"/>
      <c r="E93" s="309"/>
    </row>
    <row r="94" spans="1:5" s="59" customFormat="1" ht="12" customHeight="1">
      <c r="A94" s="80" t="s">
        <v>154</v>
      </c>
      <c r="B94" s="80"/>
      <c r="C94" s="81" t="s">
        <v>247</v>
      </c>
      <c r="D94" s="82"/>
      <c r="E94" s="83"/>
    </row>
    <row r="95" spans="1:5" ht="12.75">
      <c r="A95" s="7"/>
      <c r="B95" s="7"/>
      <c r="C95" s="6"/>
      <c r="D95" s="7"/>
      <c r="E95" s="2"/>
    </row>
    <row r="96" spans="1:5" ht="12.75">
      <c r="A96" s="7"/>
      <c r="B96" s="7"/>
      <c r="C96" s="6"/>
      <c r="D96" s="7"/>
      <c r="E96" s="2"/>
    </row>
    <row r="97" spans="1:5" ht="12.75">
      <c r="A97" s="7"/>
      <c r="B97" s="7"/>
      <c r="C97" s="6"/>
      <c r="D97" s="7"/>
      <c r="E97" s="2"/>
    </row>
    <row r="98" spans="1:5" ht="12.75">
      <c r="A98" s="7"/>
      <c r="B98" s="7"/>
      <c r="C98" s="6"/>
      <c r="D98" s="7"/>
      <c r="E98" s="2"/>
    </row>
    <row r="99" spans="2:5" ht="12.75">
      <c r="B99" s="4"/>
      <c r="C99" s="4"/>
      <c r="D99" s="4"/>
      <c r="E99" s="4"/>
    </row>
    <row r="100" spans="2:5" ht="12.75">
      <c r="B100" s="4"/>
      <c r="C100" s="4"/>
      <c r="D100" s="4"/>
      <c r="E100" s="4"/>
    </row>
    <row r="101" spans="2:5" ht="12.75">
      <c r="B101" s="4"/>
      <c r="C101" s="4"/>
      <c r="D101" s="4"/>
      <c r="E101" s="4"/>
    </row>
    <row r="102" spans="2:5" ht="12.75">
      <c r="B102" s="4"/>
      <c r="C102" s="4"/>
      <c r="D102" s="4"/>
      <c r="E102" s="4"/>
    </row>
    <row r="103" spans="2:5" ht="12.75">
      <c r="B103" s="4"/>
      <c r="C103" s="4"/>
      <c r="D103" s="4"/>
      <c r="E103" s="4"/>
    </row>
    <row r="104" spans="2:5" ht="12.75">
      <c r="B104" s="4"/>
      <c r="C104" s="4"/>
      <c r="D104" s="4"/>
      <c r="E104" s="4"/>
    </row>
    <row r="105" spans="2:5" ht="12.75">
      <c r="B105" s="4"/>
      <c r="C105" s="4"/>
      <c r="D105" s="4"/>
      <c r="E105" s="4"/>
    </row>
    <row r="106" spans="2:5" ht="12.75">
      <c r="B106" s="4"/>
      <c r="C106" s="4"/>
      <c r="D106" s="4"/>
      <c r="E106" s="4"/>
    </row>
    <row r="107" spans="2:5" ht="12.75">
      <c r="B107" s="4"/>
      <c r="C107" s="4"/>
      <c r="D107" s="4"/>
      <c r="E107" s="4"/>
    </row>
  </sheetData>
  <sheetProtection/>
  <mergeCells count="2">
    <mergeCell ref="A1:E1"/>
    <mergeCell ref="C93:E93"/>
  </mergeCells>
  <printOptions/>
  <pageMargins left="1.1811023622047245" right="0.7874015748031497" top="0.5118110236220472" bottom="0.5118110236220472" header="0.5118110236220472" footer="0.5118110236220472"/>
  <pageSetup fitToHeight="2" fitToWidth="1" horizontalDpi="600" verticalDpi="600" orientation="landscape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6"/>
  <sheetViews>
    <sheetView tabSelected="1" zoomScalePageLayoutView="0" workbookViewId="0" topLeftCell="A175">
      <selection activeCell="C29" sqref="C29"/>
    </sheetView>
  </sheetViews>
  <sheetFormatPr defaultColWidth="9.00390625" defaultRowHeight="12.75"/>
  <cols>
    <col min="1" max="1" width="64.50390625" style="0" customWidth="1"/>
    <col min="2" max="2" width="16.50390625" style="0" customWidth="1"/>
    <col min="3" max="3" width="15.625" style="0" customWidth="1"/>
    <col min="4" max="4" width="11.375" style="0" customWidth="1"/>
    <col min="5" max="5" width="15.50390625" style="0" customWidth="1"/>
    <col min="6" max="6" width="12.625" style="0" bestFit="1" customWidth="1"/>
  </cols>
  <sheetData>
    <row r="1" spans="1:5" ht="15">
      <c r="A1" s="313" t="s">
        <v>324</v>
      </c>
      <c r="B1" s="313"/>
      <c r="C1" s="313"/>
      <c r="D1" s="313"/>
      <c r="E1" s="313"/>
    </row>
    <row r="2" spans="1:5" ht="9.75" customHeight="1" thickBot="1">
      <c r="A2" s="258"/>
      <c r="B2" s="258"/>
      <c r="C2" s="259"/>
      <c r="D2" s="258"/>
      <c r="E2" s="258" t="s">
        <v>0</v>
      </c>
    </row>
    <row r="3" spans="1:5" ht="108" customHeight="1">
      <c r="A3" s="254" t="s">
        <v>1</v>
      </c>
      <c r="B3" s="255" t="s">
        <v>251</v>
      </c>
      <c r="C3" s="256" t="s">
        <v>325</v>
      </c>
      <c r="D3" s="255" t="s">
        <v>252</v>
      </c>
      <c r="E3" s="257" t="s">
        <v>253</v>
      </c>
    </row>
    <row r="4" spans="1:5" ht="15">
      <c r="A4" s="260">
        <v>1</v>
      </c>
      <c r="B4" s="261">
        <v>2</v>
      </c>
      <c r="C4" s="262">
        <v>3</v>
      </c>
      <c r="D4" s="263">
        <v>4</v>
      </c>
      <c r="E4" s="264">
        <v>5</v>
      </c>
    </row>
    <row r="5" spans="1:5" ht="15.75" customHeight="1">
      <c r="A5" s="265" t="s">
        <v>2</v>
      </c>
      <c r="B5" s="266"/>
      <c r="C5" s="267"/>
      <c r="D5" s="268"/>
      <c r="E5" s="269"/>
    </row>
    <row r="6" spans="1:5" ht="15">
      <c r="A6" s="270" t="s">
        <v>45</v>
      </c>
      <c r="B6" s="271">
        <f>SUM(B7)</f>
        <v>11138900</v>
      </c>
      <c r="C6" s="271">
        <f>SUM(C7)</f>
        <v>8725324.25</v>
      </c>
      <c r="D6" s="272">
        <f aca="true" t="shared" si="0" ref="D6:D34">IF(B6=0,"   ",C6/B6*100)</f>
        <v>78.33200989325697</v>
      </c>
      <c r="E6" s="273">
        <f aca="true" t="shared" si="1" ref="E6:E61">C6-B6</f>
        <v>-2413575.75</v>
      </c>
    </row>
    <row r="7" spans="1:5" ht="15">
      <c r="A7" s="274" t="s">
        <v>44</v>
      </c>
      <c r="B7" s="275">
        <f>Лист1!B9+Лист2!B7+Лист3!B7+Лист4!B8+Лист5!B8+Лист6!B8+Лист7!B8+Лист8!B8+Лист9!B8+Лист10!B8</f>
        <v>11138900</v>
      </c>
      <c r="C7" s="275">
        <f>Лист1!C9+Лист2!C7+Лист3!C7+Лист4!C8+Лист5!C8+Лист6!C8+Лист7!C8+Лист8!C8+Лист9!C8+Лист10!C8</f>
        <v>8725324.25</v>
      </c>
      <c r="D7" s="272">
        <f t="shared" si="0"/>
        <v>78.33200989325697</v>
      </c>
      <c r="E7" s="273">
        <f t="shared" si="1"/>
        <v>-2413575.75</v>
      </c>
    </row>
    <row r="8" spans="1:5" ht="31.5" customHeight="1">
      <c r="A8" s="270" t="s">
        <v>137</v>
      </c>
      <c r="B8" s="271">
        <f>SUM(B9)</f>
        <v>7469300</v>
      </c>
      <c r="C8" s="271">
        <f>SUM(C9)</f>
        <v>5908859.75</v>
      </c>
      <c r="D8" s="272">
        <f t="shared" si="0"/>
        <v>79.10861459574525</v>
      </c>
      <c r="E8" s="273">
        <f t="shared" si="1"/>
        <v>-1560440.25</v>
      </c>
    </row>
    <row r="9" spans="1:5" ht="30.75">
      <c r="A9" s="274" t="s">
        <v>138</v>
      </c>
      <c r="B9" s="275">
        <f>Лист1!B15+Лист2!B9+Лист3!B9+Лист4!B10+Лист5!B10+Лист6!B10+Лист7!B10+Лист8!B10+Лист9!B10+Лист10!B10</f>
        <v>7469300</v>
      </c>
      <c r="C9" s="275">
        <f>Лист1!C15+Лист2!C9+Лист3!C9+Лист4!C10+Лист5!C10+Лист6!C10+Лист7!C10+Лист8!C10+Лист9!C10+Лист10!C10</f>
        <v>5908859.75</v>
      </c>
      <c r="D9" s="272">
        <f t="shared" si="0"/>
        <v>79.10861459574525</v>
      </c>
      <c r="E9" s="273">
        <f t="shared" si="1"/>
        <v>-1560440.25</v>
      </c>
    </row>
    <row r="10" spans="1:5" ht="15">
      <c r="A10" s="274" t="s">
        <v>7</v>
      </c>
      <c r="B10" s="275">
        <f>B11</f>
        <v>315200</v>
      </c>
      <c r="C10" s="275">
        <f>SUM(C11:C11)</f>
        <v>307786.20999999996</v>
      </c>
      <c r="D10" s="272">
        <f t="shared" si="0"/>
        <v>97.64790926395938</v>
      </c>
      <c r="E10" s="273">
        <f t="shared" si="1"/>
        <v>-7413.790000000037</v>
      </c>
    </row>
    <row r="11" spans="1:5" ht="15">
      <c r="A11" s="274" t="s">
        <v>26</v>
      </c>
      <c r="B11" s="275">
        <f>Лист1!B18+Лист2!B11+Лист3!B11+Лист4!B12+Лист5!B12+Лист6!B12+Лист7!B12+Лист8!B12+Лист9!B12+Лист10!B12</f>
        <v>315200</v>
      </c>
      <c r="C11" s="275">
        <f>Лист1!C18+Лист2!C11+Лист3!C11+Лист4!C12+Лист5!C12+Лист6!C12+Лист7!C12+Лист8!C12+Лист9!C12+Лист10!C12</f>
        <v>307786.20999999996</v>
      </c>
      <c r="D11" s="272">
        <f t="shared" si="0"/>
        <v>97.64790926395938</v>
      </c>
      <c r="E11" s="273">
        <f t="shared" si="1"/>
        <v>-7413.790000000037</v>
      </c>
    </row>
    <row r="12" spans="1:5" ht="15">
      <c r="A12" s="274" t="s">
        <v>9</v>
      </c>
      <c r="B12" s="275">
        <f>SUM(B13:B14)</f>
        <v>9459000</v>
      </c>
      <c r="C12" s="275">
        <f>SUM(C13:C14)</f>
        <v>4279235.75</v>
      </c>
      <c r="D12" s="272">
        <f t="shared" si="0"/>
        <v>45.23983243471826</v>
      </c>
      <c r="E12" s="273">
        <f t="shared" si="1"/>
        <v>-5179764.25</v>
      </c>
    </row>
    <row r="13" spans="1:5" ht="15">
      <c r="A13" s="274" t="s">
        <v>27</v>
      </c>
      <c r="B13" s="275">
        <f>Лист1!B20+Лист2!B13+Лист3!B13+Лист4!B14+Лист5!B14+Лист6!B14+Лист7!B14+Лист8!B14+Лист9!B14+Лист10!B14</f>
        <v>4617500</v>
      </c>
      <c r="C13" s="275">
        <f>Лист1!C20+Лист2!C13+Лист3!C13+Лист4!C14+Лист5!C14+Лист6!C14+Лист7!C14+Лист8!C14+Лист9!C14+Лист10!C14</f>
        <v>1330589.1699999997</v>
      </c>
      <c r="D13" s="272">
        <f t="shared" si="0"/>
        <v>28.816224580400647</v>
      </c>
      <c r="E13" s="273">
        <f t="shared" si="1"/>
        <v>-3286910.83</v>
      </c>
    </row>
    <row r="14" spans="1:5" ht="15">
      <c r="A14" s="274" t="s">
        <v>160</v>
      </c>
      <c r="B14" s="275">
        <f>Лист1!B21+Лист2!B14+Лист3!B14+Лист4!B15+Лист5!B15+Лист6!B15+Лист7!B15+Лист8!B15+Лист9!B15+Лист10!B15</f>
        <v>4841500</v>
      </c>
      <c r="C14" s="275">
        <f>Лист1!C21+Лист2!C14+Лист3!C14+Лист4!C15+Лист5!C15+Лист6!C15+Лист7!C15+Лист8!C15+Лист9!C15+Лист10!C15</f>
        <v>2948646.5800000005</v>
      </c>
      <c r="D14" s="272">
        <f t="shared" si="0"/>
        <v>60.90357492512653</v>
      </c>
      <c r="E14" s="273">
        <f t="shared" si="1"/>
        <v>-1892853.4199999995</v>
      </c>
    </row>
    <row r="15" spans="1:5" ht="15">
      <c r="A15" s="274" t="s">
        <v>161</v>
      </c>
      <c r="B15" s="275">
        <f>Лист1!B22+Лист2!B15+Лист3!B15+Лист4!B16+Лист5!B16+Лист6!B16+Лист7!B16+Лист8!B16+Лист9!B16+Лист10!B16</f>
        <v>1590000</v>
      </c>
      <c r="C15" s="275">
        <f>Лист1!C22+Лист2!C15+Лист3!C15+Лист4!C16+Лист5!C16+Лист6!C16+Лист7!C16+Лист8!C16+Лист9!C16+Лист10!C16</f>
        <v>1433207.02</v>
      </c>
      <c r="D15" s="272">
        <f t="shared" si="0"/>
        <v>90.13880628930818</v>
      </c>
      <c r="E15" s="273">
        <f t="shared" si="1"/>
        <v>-156792.97999999998</v>
      </c>
    </row>
    <row r="16" spans="1:5" ht="15">
      <c r="A16" s="274" t="s">
        <v>162</v>
      </c>
      <c r="B16" s="275">
        <f>Лист1!B23+Лист2!B16+Лист3!B16+Лист4!B17+Лист5!B17+Лист6!B17+Лист7!B17+Лист8!B17+Лист9!B17+Лист10!B17</f>
        <v>3251500</v>
      </c>
      <c r="C16" s="275">
        <f>Лист1!C23+Лист2!C16+Лист3!C16+Лист4!C17+Лист5!C17+Лист6!C17+Лист7!C17+Лист8!C17+Лист9!C17+Лист10!C17</f>
        <v>1515439.56</v>
      </c>
      <c r="D16" s="272">
        <f t="shared" si="0"/>
        <v>46.60739843149316</v>
      </c>
      <c r="E16" s="273">
        <f t="shared" si="1"/>
        <v>-1736060.44</v>
      </c>
    </row>
    <row r="17" spans="1:5" ht="15">
      <c r="A17" s="274" t="s">
        <v>196</v>
      </c>
      <c r="B17" s="276">
        <f>Лист8!B18+Лист5!B18+Лист9!B18+Лист3!B17+Лист4!B18+Лист2!B17+Лист10!B18+Лист1!B24+Лист6!B18</f>
        <v>7000</v>
      </c>
      <c r="C17" s="276">
        <f>Лист8!C18+Лист5!C18+Лист9!C18+Лист3!C17+Лист4!C18+Лист2!C17+Лист10!C18+Лист1!C24+Лист6!C18</f>
        <v>14263</v>
      </c>
      <c r="D17" s="272">
        <f>IF(B17=0,"   ",C17/B17*100)</f>
        <v>203.75714285714284</v>
      </c>
      <c r="E17" s="273">
        <f>C17-B17</f>
        <v>7263</v>
      </c>
    </row>
    <row r="18" spans="1:5" ht="28.5" customHeight="1">
      <c r="A18" s="274" t="s">
        <v>93</v>
      </c>
      <c r="B18" s="276">
        <f>Лист1!B25+Лист2!B18+Лист3!B18+Лист4!B19+Лист5!B19+Лист6!B19+Лист7!B18+Лист8!B19+Лист9!B19+Лист10!B19</f>
        <v>0</v>
      </c>
      <c r="C18" s="276">
        <f>Лист1!C25+Лист2!C18+Лист3!C18+Лист4!C19+Лист5!C19+Лист6!C19+Лист7!C18+Лист8!C19+Лист9!C19+Лист10!C19</f>
        <v>0</v>
      </c>
      <c r="D18" s="272" t="str">
        <f t="shared" si="0"/>
        <v>   </v>
      </c>
      <c r="E18" s="273">
        <f t="shared" si="1"/>
        <v>0</v>
      </c>
    </row>
    <row r="19" spans="1:5" ht="46.5" customHeight="1">
      <c r="A19" s="274" t="s">
        <v>28</v>
      </c>
      <c r="B19" s="275">
        <f>SUM(B20:B25)</f>
        <v>3061420</v>
      </c>
      <c r="C19" s="275">
        <f>SUM(C20:C25)</f>
        <v>1359287.4399999997</v>
      </c>
      <c r="D19" s="272">
        <f t="shared" si="0"/>
        <v>44.40055399128508</v>
      </c>
      <c r="E19" s="273">
        <f t="shared" si="1"/>
        <v>-1702132.5600000003</v>
      </c>
    </row>
    <row r="20" spans="1:5" ht="15">
      <c r="A20" s="274" t="s">
        <v>153</v>
      </c>
      <c r="B20" s="275">
        <f>Лист7!B20</f>
        <v>1180000</v>
      </c>
      <c r="C20" s="275">
        <f>Лист7!C20</f>
        <v>362113.03</v>
      </c>
      <c r="D20" s="272">
        <f t="shared" si="0"/>
        <v>30.68754491525424</v>
      </c>
      <c r="E20" s="273">
        <f t="shared" si="1"/>
        <v>-817886.97</v>
      </c>
    </row>
    <row r="21" spans="1:5" ht="15">
      <c r="A21" s="274" t="s">
        <v>139</v>
      </c>
      <c r="B21" s="275">
        <f>Лист1!B27+Лист2!B23+Лист3!B20+Лист4!B21+Лист5!B21+Лист6!B21+Лист7!B21+Лист8!B21+Лист9!B22+Лист10!B23</f>
        <v>1174220</v>
      </c>
      <c r="C21" s="275">
        <f>Лист1!C27+Лист2!C23+Лист3!C20+Лист4!C21+Лист5!C21+Лист6!C21+Лист7!C21+Лист8!C21+Лист9!C22+Лист10!C23</f>
        <v>724767.4700000001</v>
      </c>
      <c r="D21" s="272">
        <f t="shared" si="0"/>
        <v>61.72331164517723</v>
      </c>
      <c r="E21" s="273">
        <f t="shared" si="1"/>
        <v>-449452.5299999999</v>
      </c>
    </row>
    <row r="22" spans="1:5" ht="33" customHeight="1">
      <c r="A22" s="274" t="s">
        <v>30</v>
      </c>
      <c r="B22" s="275">
        <f>Лист1!B28+Лист2!B24+Лист3!B21+Лист4!B22+Лист5!B22+Лист6!B22+Лист7!B22+Лист8!B22+Лист9!B23+Лист10!B21</f>
        <v>189200</v>
      </c>
      <c r="C22" s="275">
        <f>Лист1!C28+Лист2!C24+Лист3!C21+Лист4!C22+Лист5!C22+Лист6!C22+Лист7!C22+Лист8!C22+Лист9!C23+Лист10!C21</f>
        <v>155878.15</v>
      </c>
      <c r="D22" s="272">
        <f t="shared" si="0"/>
        <v>82.3880285412262</v>
      </c>
      <c r="E22" s="273">
        <f t="shared" si="1"/>
        <v>-33321.850000000006</v>
      </c>
    </row>
    <row r="23" spans="1:5" ht="33" customHeight="1">
      <c r="A23" s="274" t="s">
        <v>272</v>
      </c>
      <c r="B23" s="275">
        <f>Лист8!B23+Лист10!B22+Лист1!B29</f>
        <v>6600</v>
      </c>
      <c r="C23" s="275">
        <f>Лист8!C23+Лист10!C22+Лист1!C29</f>
        <v>7457.88</v>
      </c>
      <c r="D23" s="272">
        <f>IF(B23=0,"   ",C23/B23*100)</f>
        <v>112.99818181818182</v>
      </c>
      <c r="E23" s="273">
        <f>C23-B23</f>
        <v>857.8800000000001</v>
      </c>
    </row>
    <row r="24" spans="1:5" ht="73.5" customHeight="1">
      <c r="A24" s="274" t="s">
        <v>201</v>
      </c>
      <c r="B24" s="275">
        <f>Лист7!B23</f>
        <v>485700</v>
      </c>
      <c r="C24" s="275">
        <f>Лист7!C23</f>
        <v>72995.51</v>
      </c>
      <c r="D24" s="272">
        <f>IF(B24=0,"   ",C24/B24*100)</f>
        <v>15.02892938027589</v>
      </c>
      <c r="E24" s="273">
        <f>C24-B24</f>
        <v>-412704.49</v>
      </c>
    </row>
    <row r="25" spans="1:5" ht="72" customHeight="1">
      <c r="A25" s="274" t="s">
        <v>226</v>
      </c>
      <c r="B25" s="275">
        <f>Лист1!B30+Лист9!B24</f>
        <v>25700</v>
      </c>
      <c r="C25" s="275">
        <f>Лист1!C30+Лист9!C24</f>
        <v>36075.4</v>
      </c>
      <c r="D25" s="272">
        <f>IF(B25=0,"   ",C25/B25*100)</f>
        <v>140.37120622568094</v>
      </c>
      <c r="E25" s="273">
        <f>C25-B25</f>
        <v>10375.400000000001</v>
      </c>
    </row>
    <row r="26" spans="1:5" ht="30.75" customHeight="1">
      <c r="A26" s="274" t="s">
        <v>83</v>
      </c>
      <c r="B26" s="275">
        <f>SUM(B28,B27)</f>
        <v>67000</v>
      </c>
      <c r="C26" s="275">
        <f>SUM(C28,C27)</f>
        <v>74857.98999999999</v>
      </c>
      <c r="D26" s="272">
        <f t="shared" si="0"/>
        <v>111.72834328358208</v>
      </c>
      <c r="E26" s="273">
        <f t="shared" si="1"/>
        <v>7857.989999999991</v>
      </c>
    </row>
    <row r="27" spans="1:5" ht="16.5" customHeight="1">
      <c r="A27" s="274" t="s">
        <v>175</v>
      </c>
      <c r="B27" s="275">
        <f>Лист2!B26</f>
        <v>0</v>
      </c>
      <c r="C27" s="275">
        <f>Лист2!C26</f>
        <v>0</v>
      </c>
      <c r="D27" s="272"/>
      <c r="E27" s="273">
        <f t="shared" si="1"/>
        <v>0</v>
      </c>
    </row>
    <row r="28" spans="1:5" ht="44.25" customHeight="1">
      <c r="A28" s="274" t="s">
        <v>84</v>
      </c>
      <c r="B28" s="275">
        <f>Лист4!B23+Лист9!B25+Лист7!B24+Лист1!B31</f>
        <v>67000</v>
      </c>
      <c r="C28" s="275">
        <f>Лист4!C23+Лист9!C25+Лист7!C24+Лист1!C31</f>
        <v>74857.98999999999</v>
      </c>
      <c r="D28" s="272">
        <f t="shared" si="0"/>
        <v>111.72834328358208</v>
      </c>
      <c r="E28" s="273">
        <f t="shared" si="1"/>
        <v>7857.989999999991</v>
      </c>
    </row>
    <row r="29" spans="1:5" ht="31.5" customHeight="1">
      <c r="A29" s="274" t="s">
        <v>76</v>
      </c>
      <c r="B29" s="275">
        <f>SUM(B31+B30+B32)</f>
        <v>3510380</v>
      </c>
      <c r="C29" s="275">
        <f>SUM(C31+C30+C32)</f>
        <v>458880.22</v>
      </c>
      <c r="D29" s="272">
        <f t="shared" si="0"/>
        <v>13.07209532871085</v>
      </c>
      <c r="E29" s="273">
        <f t="shared" si="1"/>
        <v>-3051499.7800000003</v>
      </c>
    </row>
    <row r="30" spans="1:5" ht="30.75" customHeight="1">
      <c r="A30" s="274" t="s">
        <v>134</v>
      </c>
      <c r="B30" s="275">
        <f>Лист7!B26+Лист1!B33</f>
        <v>3482380</v>
      </c>
      <c r="C30" s="275">
        <f>Лист1!C33</f>
        <v>13580</v>
      </c>
      <c r="D30" s="272">
        <f t="shared" si="0"/>
        <v>0.38996318609686476</v>
      </c>
      <c r="E30" s="273">
        <f t="shared" si="1"/>
        <v>-3468800</v>
      </c>
    </row>
    <row r="31" spans="1:5" ht="42" customHeight="1">
      <c r="A31" s="274" t="s">
        <v>227</v>
      </c>
      <c r="B31" s="275">
        <f>Лист7!B27</f>
        <v>28000</v>
      </c>
      <c r="C31" s="275">
        <f>Лист7!C27</f>
        <v>428562.22</v>
      </c>
      <c r="D31" s="272">
        <f t="shared" si="0"/>
        <v>1530.579357142857</v>
      </c>
      <c r="E31" s="273">
        <f t="shared" si="1"/>
        <v>400562.22</v>
      </c>
    </row>
    <row r="32" spans="1:5" ht="46.5" customHeight="1">
      <c r="A32" s="274" t="s">
        <v>228</v>
      </c>
      <c r="B32" s="275">
        <v>0</v>
      </c>
      <c r="C32" s="275">
        <f>Лист1!C34+Лист2!C21+Лист3!C24+Лист4!C25+Лист6!C25+Лист8!C26+Лист9!C28+Лист10!C26</f>
        <v>16738</v>
      </c>
      <c r="D32" s="272" t="str">
        <f t="shared" si="0"/>
        <v>   </v>
      </c>
      <c r="E32" s="273">
        <f t="shared" si="1"/>
        <v>16738</v>
      </c>
    </row>
    <row r="33" spans="1:5" ht="15">
      <c r="A33" s="274" t="s">
        <v>31</v>
      </c>
      <c r="B33" s="275">
        <f>Лист1!B35+Лист2!B27+Лист5!B28+Лист7!B28+Лист6!B26</f>
        <v>0</v>
      </c>
      <c r="C33" s="275">
        <f>Лист1!C35+Лист2!C27+Лист5!C28+Лист7!C28+Лист6!C26+Лист8!C30</f>
        <v>0</v>
      </c>
      <c r="D33" s="272" t="str">
        <f t="shared" si="0"/>
        <v>   </v>
      </c>
      <c r="E33" s="273">
        <f t="shared" si="1"/>
        <v>0</v>
      </c>
    </row>
    <row r="34" spans="1:5" ht="15">
      <c r="A34" s="274" t="s">
        <v>32</v>
      </c>
      <c r="B34" s="275">
        <f>B35+B36</f>
        <v>0</v>
      </c>
      <c r="C34" s="275">
        <f>C35+C36</f>
        <v>-45818.24</v>
      </c>
      <c r="D34" s="272" t="str">
        <f t="shared" si="0"/>
        <v>   </v>
      </c>
      <c r="E34" s="273">
        <f t="shared" si="1"/>
        <v>-45818.24</v>
      </c>
    </row>
    <row r="35" spans="1:5" ht="15">
      <c r="A35" s="274" t="s">
        <v>46</v>
      </c>
      <c r="B35" s="275">
        <v>0</v>
      </c>
      <c r="C35" s="275">
        <f>Лист1!C39+Лист2!C29+Лист4!C27+Лист6!C28+Лист7!C30+Лист8!C28+Лист9!C31+Лист3!C27+Лист10!C28+Лист5!C27</f>
        <v>-45818.24</v>
      </c>
      <c r="D35" s="272"/>
      <c r="E35" s="273">
        <f t="shared" si="1"/>
        <v>-45818.24</v>
      </c>
    </row>
    <row r="36" spans="1:5" ht="15">
      <c r="A36" s="274" t="s">
        <v>50</v>
      </c>
      <c r="B36" s="275">
        <f>Лист1!B40+Лист2!B30+Лист3!B28+Лист4!B28+Лист5!B27+Лист6!B29+Лист7!B31+Лист8!B29+Лист9!B32+Лист10!B29</f>
        <v>0</v>
      </c>
      <c r="C36" s="275">
        <f>Лист1!C40+Лист2!C30+Лист3!C28+Лист4!C28+Лист6!C29+Лист7!C31+Лист8!C29+Лист9!C32+Лист10!C29</f>
        <v>0</v>
      </c>
      <c r="D36" s="272" t="str">
        <f>IF(B36=0,"   ",C36/B36*100)</f>
        <v>   </v>
      </c>
      <c r="E36" s="273">
        <f t="shared" si="1"/>
        <v>0</v>
      </c>
    </row>
    <row r="37" spans="1:5" ht="18" customHeight="1">
      <c r="A37" s="277" t="s">
        <v>10</v>
      </c>
      <c r="B37" s="278">
        <f>SUM(B6,B8,B10,B12,B18,B19,B26,B29,B34,+B33+B17)</f>
        <v>35028200</v>
      </c>
      <c r="C37" s="278">
        <f>SUM(C6,C8,C10,C12,C18,C19,C26,C29,C34,+C33+C17)</f>
        <v>21082676.37</v>
      </c>
      <c r="D37" s="279">
        <f>IF(B37=0,"   ",C37/B37*100)</f>
        <v>60.18772409087535</v>
      </c>
      <c r="E37" s="280">
        <f t="shared" si="1"/>
        <v>-13945523.629999999</v>
      </c>
    </row>
    <row r="38" spans="1:5" ht="33" customHeight="1">
      <c r="A38" s="270" t="s">
        <v>34</v>
      </c>
      <c r="B38" s="271">
        <f>Лист1!B45+Лист2!B33+Лист3!B32+Лист4!B32+Лист5!B31+Лист6!B32+Лист7!B34+Лист8!B33+Лист9!B35+Лист10!B32</f>
        <v>16806300</v>
      </c>
      <c r="C38" s="271">
        <f>Лист1!C45+Лист2!C33+Лист3!C32+Лист4!C32+Лист5!C31+Лист6!C32+Лист7!C34+Лист8!C33+Лист9!C35+Лист10!C32</f>
        <v>13982900</v>
      </c>
      <c r="D38" s="272">
        <f>IF(B38=0,"   ",C38/B38*100)</f>
        <v>83.20034748873934</v>
      </c>
      <c r="E38" s="273">
        <f t="shared" si="1"/>
        <v>-2823400</v>
      </c>
    </row>
    <row r="39" spans="1:5" ht="33" customHeight="1">
      <c r="A39" s="270" t="s">
        <v>229</v>
      </c>
      <c r="B39" s="271">
        <f>Лист1!B46+Лист2!B34+Лист3!B33+Лист4!B33+Лист5!B32+Лист6!B33+Лист7!B35+Лист8!B34+Лист9!B36+Лист10!B33</f>
        <v>0</v>
      </c>
      <c r="C39" s="271">
        <f>Лист1!C46+Лист2!C34+Лист3!C33+Лист4!C33+Лист5!C32+Лист6!C33+Лист7!C35+Лист8!C34+Лист9!C36+Лист10!C33</f>
        <v>0</v>
      </c>
      <c r="D39" s="272" t="str">
        <f>IF(B39=0,"   ",C39/B39*100)</f>
        <v>   </v>
      </c>
      <c r="E39" s="273">
        <f>C39-B39</f>
        <v>0</v>
      </c>
    </row>
    <row r="40" spans="1:5" ht="15">
      <c r="A40" s="281" t="s">
        <v>115</v>
      </c>
      <c r="B40" s="271">
        <f>SUM(B42:B48)</f>
        <v>72508224.7</v>
      </c>
      <c r="C40" s="271">
        <f>SUM(C42:C48)</f>
        <v>17696780.66</v>
      </c>
      <c r="D40" s="272">
        <f>IF(B40=0,"   ",C40/B40*100)</f>
        <v>24.406583850617984</v>
      </c>
      <c r="E40" s="273">
        <f t="shared" si="1"/>
        <v>-54811444.04000001</v>
      </c>
    </row>
    <row r="41" spans="1:5" ht="15">
      <c r="A41" s="270" t="s">
        <v>116</v>
      </c>
      <c r="B41" s="271"/>
      <c r="C41" s="271"/>
      <c r="D41" s="272"/>
      <c r="E41" s="273"/>
    </row>
    <row r="42" spans="1:5" ht="33" customHeight="1">
      <c r="A42" s="274" t="s">
        <v>239</v>
      </c>
      <c r="B42" s="275">
        <v>0</v>
      </c>
      <c r="C42" s="275">
        <f>Лист2!C43</f>
        <v>0</v>
      </c>
      <c r="D42" s="272" t="str">
        <f>IF(B42=0,"   ",C42/B42*100)</f>
        <v>   </v>
      </c>
      <c r="E42" s="273">
        <f aca="true" t="shared" si="2" ref="E42:E48">C42-B42</f>
        <v>0</v>
      </c>
    </row>
    <row r="43" spans="1:5" ht="45" customHeight="1">
      <c r="A43" s="274" t="s">
        <v>179</v>
      </c>
      <c r="B43" s="282">
        <v>0</v>
      </c>
      <c r="C43" s="282">
        <v>0</v>
      </c>
      <c r="D43" s="283" t="str">
        <f>IF(B43=0,"   ",C43/B43)</f>
        <v>   </v>
      </c>
      <c r="E43" s="284">
        <f t="shared" si="2"/>
        <v>0</v>
      </c>
    </row>
    <row r="44" spans="1:5" ht="110.25" customHeight="1">
      <c r="A44" s="274" t="s">
        <v>238</v>
      </c>
      <c r="B44" s="275">
        <f>Лист1!B53+Лист2!B42+Лист3!B40+Лист4!B40+Лист5!B37+Лист6!B38+Лист7!B44+Лист8!B41+Лист9!B41+Лист10!B38</f>
        <v>6600100</v>
      </c>
      <c r="C44" s="275">
        <f>Лист1!C53+Лист2!C42+Лист3!C40+Лист4!C40+Лист5!C37+Лист6!C38+Лист7!C44+Лист8!C41+Лист9!C41+Лист10!C38</f>
        <v>6336734.59</v>
      </c>
      <c r="D44" s="272">
        <f>IF(B44=0,"   ",C44/B44*100)</f>
        <v>96.00967545946273</v>
      </c>
      <c r="E44" s="273">
        <f t="shared" si="2"/>
        <v>-263365.41000000015</v>
      </c>
    </row>
    <row r="45" spans="1:5" ht="106.5" customHeight="1">
      <c r="A45" s="274" t="s">
        <v>240</v>
      </c>
      <c r="B45" s="275">
        <f>Лист7!B45</f>
        <v>1612800</v>
      </c>
      <c r="C45" s="275">
        <f>Лист7!C45</f>
        <v>1612800</v>
      </c>
      <c r="D45" s="272">
        <f>IF(B45=0,"   ",C45/B45*100)</f>
        <v>100</v>
      </c>
      <c r="E45" s="273">
        <f t="shared" si="2"/>
        <v>0</v>
      </c>
    </row>
    <row r="46" spans="1:5" ht="60" customHeight="1">
      <c r="A46" s="274" t="s">
        <v>266</v>
      </c>
      <c r="B46" s="275">
        <v>0</v>
      </c>
      <c r="C46" s="275">
        <v>0</v>
      </c>
      <c r="D46" s="272" t="str">
        <f>IF(B46=0,"   ",C46/B46*100)</f>
        <v>   </v>
      </c>
      <c r="E46" s="273">
        <f t="shared" si="2"/>
        <v>0</v>
      </c>
    </row>
    <row r="47" spans="1:5" ht="49.5" customHeight="1">
      <c r="A47" s="274" t="s">
        <v>279</v>
      </c>
      <c r="B47" s="275">
        <f>Лист2!B43+Лист4!B41+Лист9!B42</f>
        <v>0</v>
      </c>
      <c r="C47" s="275">
        <f>Лист2!C43+Лист4!C41+Лист9!C42</f>
        <v>0</v>
      </c>
      <c r="D47" s="272" t="str">
        <f>IF(B47=0,"   ",C47/B47*100)</f>
        <v>   </v>
      </c>
      <c r="E47" s="273">
        <f t="shared" si="2"/>
        <v>0</v>
      </c>
    </row>
    <row r="48" spans="1:5" ht="15">
      <c r="A48" s="274" t="s">
        <v>106</v>
      </c>
      <c r="B48" s="275">
        <f>SUM(B50:B54)</f>
        <v>64295324.7</v>
      </c>
      <c r="C48" s="275">
        <f>SUM(C50:C54)</f>
        <v>9747246.07</v>
      </c>
      <c r="D48" s="272">
        <f>IF(B48=0,"   ",C48/B48*100)</f>
        <v>15.160116408899635</v>
      </c>
      <c r="E48" s="273">
        <f t="shared" si="2"/>
        <v>-54548078.63</v>
      </c>
    </row>
    <row r="49" spans="1:5" ht="15">
      <c r="A49" s="274" t="s">
        <v>117</v>
      </c>
      <c r="B49" s="275"/>
      <c r="C49" s="275"/>
      <c r="D49" s="272"/>
      <c r="E49" s="273"/>
    </row>
    <row r="50" spans="1:5" ht="46.5">
      <c r="A50" s="274" t="s">
        <v>221</v>
      </c>
      <c r="B50" s="275">
        <f>Лист1!B56</f>
        <v>328200</v>
      </c>
      <c r="C50" s="275">
        <f>Лист1!C56</f>
        <v>328200</v>
      </c>
      <c r="D50" s="272">
        <f>IF(B50=0,"   ",C50/B50*100)</f>
        <v>100</v>
      </c>
      <c r="E50" s="273">
        <f>C50-B50</f>
        <v>0</v>
      </c>
    </row>
    <row r="51" spans="1:5" ht="51.75" customHeight="1">
      <c r="A51" s="274" t="s">
        <v>220</v>
      </c>
      <c r="B51" s="275">
        <f>Лист1!B55+Лист2!B45+Лист3!B42+Лист4!B43+Лист5!B41+Лист6!B42+Лист7!B48+Лист8!B43+Лист9!B44+Лист10!B40</f>
        <v>2144900</v>
      </c>
      <c r="C51" s="275">
        <f>Лист1!C55+Лист2!C45+Лист3!C42+Лист4!C43+Лист5!C41+Лист6!C42+Лист7!C48+Лист8!C43+Лист9!C44+Лист10!C40</f>
        <v>1264974.07</v>
      </c>
      <c r="D51" s="275">
        <f>Лист7!D48</f>
        <v>59.264683500518856</v>
      </c>
      <c r="E51" s="273">
        <f>C51-B51</f>
        <v>-879925.9299999999</v>
      </c>
    </row>
    <row r="52" spans="1:5" ht="48" customHeight="1">
      <c r="A52" s="274" t="s">
        <v>281</v>
      </c>
      <c r="B52" s="275">
        <f>Лист7!B49</f>
        <v>39181634.7</v>
      </c>
      <c r="C52" s="275">
        <f>Лист7!C49</f>
        <v>5476989</v>
      </c>
      <c r="D52" s="275">
        <f>Лист7!D49</f>
        <v>13.978459658294963</v>
      </c>
      <c r="E52" s="275">
        <f>Лист7!E49</f>
        <v>-33704645.7</v>
      </c>
    </row>
    <row r="53" spans="1:5" ht="32.25" customHeight="1">
      <c r="A53" s="274" t="s">
        <v>300</v>
      </c>
      <c r="B53" s="275">
        <f>Лист1!B57+Лист2!B46+Лист3!B43+Лист5!B40+Лист6!B41+Лист7!B50+Лист8!B44+Лист9!B45+Лист10!B41</f>
        <v>18013890</v>
      </c>
      <c r="C53" s="275">
        <f>Лист1!C57+Лист2!C46+Лист3!C43+Лист5!C40+Лист6!C41+Лист7!C50+Лист8!C44+Лист9!C45+Лист10!C41</f>
        <v>0</v>
      </c>
      <c r="D53" s="275">
        <f>Лист7!D50</f>
        <v>0</v>
      </c>
      <c r="E53" s="273">
        <f>C53-B53</f>
        <v>-18013890</v>
      </c>
    </row>
    <row r="54" spans="1:5" s="59" customFormat="1" ht="48" customHeight="1">
      <c r="A54" s="274" t="s">
        <v>118</v>
      </c>
      <c r="B54" s="275">
        <f>Лист1!B58+Лист2!B47+Лист3!B44+Лист4!B44+Лист5!B39+Лист6!B40+Лист7!B51+Лист8!B45+Лист9!B46+Лист10!B42</f>
        <v>4626700</v>
      </c>
      <c r="C54" s="275">
        <f>Лист1!C58+Лист2!C47+Лист3!C44+Лист4!C44+Лист5!C39+Лист6!C40+Лист7!C51+Лист8!C45+Лист9!C46+Лист10!C42</f>
        <v>2677083</v>
      </c>
      <c r="D54" s="272">
        <f>IF(B54=0,"   ",C54/B54*100)</f>
        <v>57.86160762530529</v>
      </c>
      <c r="E54" s="273">
        <f>C54-B54</f>
        <v>-1949617</v>
      </c>
    </row>
    <row r="55" spans="1:5" s="59" customFormat="1" ht="15">
      <c r="A55" s="281" t="s">
        <v>19</v>
      </c>
      <c r="B55" s="275">
        <f>B57+B58</f>
        <v>1391100</v>
      </c>
      <c r="C55" s="275">
        <f>C57+C58</f>
        <v>1160150</v>
      </c>
      <c r="D55" s="272">
        <f>IF(B55=0,"   ",C55/B55*100)</f>
        <v>83.39803033570556</v>
      </c>
      <c r="E55" s="273">
        <f>C55-B55</f>
        <v>-230950</v>
      </c>
    </row>
    <row r="56" spans="1:5" ht="15">
      <c r="A56" s="270" t="s">
        <v>116</v>
      </c>
      <c r="B56" s="271"/>
      <c r="C56" s="271"/>
      <c r="D56" s="272"/>
      <c r="E56" s="273"/>
    </row>
    <row r="57" spans="1:5" ht="63.75" customHeight="1">
      <c r="A57" s="285" t="s">
        <v>51</v>
      </c>
      <c r="B57" s="286">
        <f>Лист1!B47+Лист2!B36+Лист3!B34+Лист4!B34+Лист5!B33+Лист6!B34+Лист7!B36+Лист8!B35+Лист9!B37+Лист10!B34</f>
        <v>1264800</v>
      </c>
      <c r="C57" s="286">
        <f>Лист1!C47+Лист2!C36+Лист3!C34+Лист4!C34+Лист5!C33+Лист6!C34+Лист7!C36+Лист8!C35+Лист9!C37+Лист10!C34</f>
        <v>1159100</v>
      </c>
      <c r="D57" s="287">
        <f>IF(B57=0,"   ",C57/B57*100)</f>
        <v>91.64294750158128</v>
      </c>
      <c r="E57" s="288">
        <f>C57-B57</f>
        <v>-105700</v>
      </c>
    </row>
    <row r="58" spans="1:5" ht="45" customHeight="1">
      <c r="A58" s="285" t="s">
        <v>148</v>
      </c>
      <c r="B58" s="286">
        <f>Лист1!B48+Лист2!B37+Лист3!B35+Лист4!B35+Лист5!B34+Лист6!B35+Лист7!B37+Лист8!B36+Лист9!B38+Лист10!B35</f>
        <v>126300</v>
      </c>
      <c r="C58" s="286">
        <f>Лист1!C48+Лист2!C37+Лист3!C35+Лист4!C35+Лист5!C34+Лист6!C35+Лист7!C37+Лист8!C36+Лист9!C38+Лист10!C35</f>
        <v>1050</v>
      </c>
      <c r="D58" s="287">
        <f>IF(B58=0,"   ",C58/B58*100)</f>
        <v>0.831353919239905</v>
      </c>
      <c r="E58" s="288">
        <f>C58-B58</f>
        <v>-125250</v>
      </c>
    </row>
    <row r="59" spans="1:5" ht="27.75" customHeight="1">
      <c r="A59" s="285" t="s">
        <v>163</v>
      </c>
      <c r="B59" s="286">
        <f>Лист1!B49+Лист2!B38+Лист3!B36+Лист4!B36+Лист5!B35+Лист6!B36+Лист7!B38+Лист8!B37+Лист9!B39+Лист10!B36</f>
        <v>1400</v>
      </c>
      <c r="C59" s="286">
        <f>Лист1!C49+Лист2!C38+Лист3!C36+Лист4!C36+Лист5!C35+Лист6!C36+Лист7!C38+Лист8!C37+Лист9!C39+Лист10!C36</f>
        <v>1050</v>
      </c>
      <c r="D59" s="287">
        <f>IF(B59=0,"   ",C59/B59*100)</f>
        <v>75</v>
      </c>
      <c r="E59" s="288">
        <f>C59-B59</f>
        <v>-350</v>
      </c>
    </row>
    <row r="60" spans="1:5" ht="47.25" customHeight="1">
      <c r="A60" s="285" t="s">
        <v>164</v>
      </c>
      <c r="B60" s="286">
        <f>Лист1!B50+Лист2!B39+Лист3!B37+Лист4!B37+Лист5!B36+Лист6!B37+Лист7!B39+Лист8!B38+Лист9!B40+Лист10!B37</f>
        <v>124900</v>
      </c>
      <c r="C60" s="286">
        <f>Лист1!C50+Лист2!C39+Лист3!C37+Лист4!C37+Лист5!C36+Лист6!C37+Лист7!C39+Лист8!C38+Лист9!C40+Лист10!C37</f>
        <v>0</v>
      </c>
      <c r="D60" s="287">
        <f>IF(B60=0,"   ",C60/B60*100)</f>
        <v>0</v>
      </c>
      <c r="E60" s="288">
        <f>C60-B60</f>
        <v>-124900</v>
      </c>
    </row>
    <row r="61" spans="1:5" ht="15">
      <c r="A61" s="281" t="s">
        <v>119</v>
      </c>
      <c r="B61" s="275">
        <f>B63+B67+B64+B66+B65</f>
        <v>22217969.23</v>
      </c>
      <c r="C61" s="275">
        <f>C63+C67+C64+C66+C65</f>
        <v>9664677.27</v>
      </c>
      <c r="D61" s="272">
        <f>IF(B61=0,"   ",C61/B61*100)</f>
        <v>43.49937282724376</v>
      </c>
      <c r="E61" s="273">
        <f t="shared" si="1"/>
        <v>-12553291.96</v>
      </c>
    </row>
    <row r="62" spans="1:5" ht="15">
      <c r="A62" s="270" t="s">
        <v>116</v>
      </c>
      <c r="B62" s="271"/>
      <c r="C62" s="271"/>
      <c r="D62" s="272"/>
      <c r="E62" s="273"/>
    </row>
    <row r="63" spans="1:5" ht="115.5" customHeight="1">
      <c r="A63" s="274" t="s">
        <v>271</v>
      </c>
      <c r="B63" s="275">
        <f>Лист7!B46</f>
        <v>6082988.39</v>
      </c>
      <c r="C63" s="275">
        <f>Лист7!C46</f>
        <v>1329696.43</v>
      </c>
      <c r="D63" s="272">
        <f aca="true" t="shared" si="3" ref="D63:D96">IF(B63=0,"   ",C63/B63*100)</f>
        <v>21.85926299293825</v>
      </c>
      <c r="E63" s="273">
        <f aca="true" t="shared" si="4" ref="E63:E68">C63-B63</f>
        <v>-4753291.96</v>
      </c>
    </row>
    <row r="64" spans="1:5" ht="111.75" customHeight="1">
      <c r="A64" s="274" t="s">
        <v>270</v>
      </c>
      <c r="B64" s="282">
        <f>Лист7!B43</f>
        <v>6213445.9</v>
      </c>
      <c r="C64" s="282">
        <f>Лист7!C43</f>
        <v>6213445.9</v>
      </c>
      <c r="D64" s="272">
        <f>IF(B64=0,"   ",C64/B64*100)</f>
        <v>100</v>
      </c>
      <c r="E64" s="273">
        <f t="shared" si="4"/>
        <v>0</v>
      </c>
    </row>
    <row r="65" spans="1:5" ht="63" customHeight="1">
      <c r="A65" s="16" t="s">
        <v>305</v>
      </c>
      <c r="B65" s="286">
        <f>Лист2!B40+Лист4!B38+Лист9!B47</f>
        <v>1541534.94</v>
      </c>
      <c r="C65" s="286">
        <f>Лист2!C40+Лист4!C38+Лист9!C47</f>
        <v>1541534.94</v>
      </c>
      <c r="D65" s="272">
        <f>IF(B65=0,"   ",C65/B65*100)</f>
        <v>100</v>
      </c>
      <c r="E65" s="273">
        <f t="shared" si="4"/>
        <v>0</v>
      </c>
    </row>
    <row r="66" spans="1:5" ht="50.25" customHeight="1">
      <c r="A66" s="41" t="s">
        <v>299</v>
      </c>
      <c r="B66" s="282">
        <f>Лист7!B42</f>
        <v>280000</v>
      </c>
      <c r="C66" s="282">
        <f>Лист7!C42</f>
        <v>280000</v>
      </c>
      <c r="D66" s="272">
        <f>IF(B66=0,"   ",C66/B66*100)</f>
        <v>100</v>
      </c>
      <c r="E66" s="273">
        <f t="shared" si="4"/>
        <v>0</v>
      </c>
    </row>
    <row r="67" spans="1:5" ht="33" customHeight="1">
      <c r="A67" s="274" t="s">
        <v>170</v>
      </c>
      <c r="B67" s="286">
        <f>Лист1!B52+Лист2!B41+Лист3!B39+Лист6!B43+Лист8!B40+Лист10!B43+Лист4!B39+Лист5!B43+Лист7!B41+Лист9!B48</f>
        <v>8100000</v>
      </c>
      <c r="C67" s="286">
        <f>Лист1!C52+Лист2!C41+Лист3!C39+Лист6!C43+Лист8!C40+Лист10!C43+Лист4!C39+Лист5!C43+Лист7!C41+Лист9!C48</f>
        <v>300000</v>
      </c>
      <c r="D67" s="272">
        <f t="shared" si="3"/>
        <v>3.7037037037037033</v>
      </c>
      <c r="E67" s="273">
        <f t="shared" si="4"/>
        <v>-7800000</v>
      </c>
    </row>
    <row r="68" spans="1:5" ht="21" customHeight="1">
      <c r="A68" s="277" t="s">
        <v>186</v>
      </c>
      <c r="B68" s="275">
        <f>Лист1!B59+Лист2!B48+Лист3!B45+Лист4!B45+Лист5!B44+Лист6!B45+Лист7!B52+Лист8!B46+Лист9!B49+Лист10!B45</f>
        <v>1156318.9500000002</v>
      </c>
      <c r="C68" s="275">
        <f>Лист1!C59+Лист2!C48+Лист3!C45+Лист4!C45+Лист5!C44+Лист6!C45+Лист7!C52+Лист8!C46+Лист9!C49+Лист10!C45</f>
        <v>1152440.58</v>
      </c>
      <c r="D68" s="272">
        <f>IF(B68=0,"   ",C68/B68*100)</f>
        <v>99.66459340651642</v>
      </c>
      <c r="E68" s="273">
        <f t="shared" si="4"/>
        <v>-3878.3700000001118</v>
      </c>
    </row>
    <row r="69" spans="1:5" ht="15">
      <c r="A69" s="277" t="s">
        <v>104</v>
      </c>
      <c r="B69" s="278">
        <f>B38+B40+B55+B61+B68+B39</f>
        <v>114079912.88000001</v>
      </c>
      <c r="C69" s="278">
        <f>C38+C40+C55+C61+C68+C39</f>
        <v>43656948.51</v>
      </c>
      <c r="D69" s="279">
        <f t="shared" si="3"/>
        <v>38.268742855652846</v>
      </c>
      <c r="E69" s="280">
        <f aca="true" t="shared" si="5" ref="E69:E112">C69-B69</f>
        <v>-70422964.37</v>
      </c>
    </row>
    <row r="70" spans="1:5" ht="23.25" customHeight="1">
      <c r="A70" s="277" t="s">
        <v>11</v>
      </c>
      <c r="B70" s="278">
        <f>B37+B69</f>
        <v>149108112.88</v>
      </c>
      <c r="C70" s="278">
        <f>C37+C69</f>
        <v>64739624.879999995</v>
      </c>
      <c r="D70" s="279">
        <f t="shared" si="3"/>
        <v>43.41790907923399</v>
      </c>
      <c r="E70" s="280">
        <f t="shared" si="5"/>
        <v>-84368488</v>
      </c>
    </row>
    <row r="71" spans="1:5" ht="30.75" hidden="1">
      <c r="A71" s="277" t="s">
        <v>48</v>
      </c>
      <c r="B71" s="275"/>
      <c r="C71" s="275"/>
      <c r="D71" s="272" t="str">
        <f t="shared" si="3"/>
        <v>   </v>
      </c>
      <c r="E71" s="273">
        <f t="shared" si="5"/>
        <v>0</v>
      </c>
    </row>
    <row r="72" spans="1:5" ht="15.75">
      <c r="A72" s="289" t="s">
        <v>12</v>
      </c>
      <c r="B72" s="290"/>
      <c r="C72" s="291"/>
      <c r="D72" s="272" t="str">
        <f t="shared" si="3"/>
        <v>   </v>
      </c>
      <c r="E72" s="273"/>
    </row>
    <row r="73" spans="1:5" ht="15">
      <c r="A73" s="274" t="s">
        <v>35</v>
      </c>
      <c r="B73" s="275">
        <f>Лист1!B62+Лист2!B52+Лист3!B48+Лист4!B48+Лист5!B48+Лист6!B48+Лист7!B56+Лист8!B49+Лист9!B52+Лист10!B49</f>
        <v>14675964.93</v>
      </c>
      <c r="C73" s="275">
        <f>Лист1!C62+Лист2!C52+Лист3!C48+Лист4!C48+Лист5!C48+Лист6!C48+Лист7!C56+Лист8!C49+Лист9!C52+Лист10!C49</f>
        <v>10675010.83</v>
      </c>
      <c r="D73" s="272">
        <f t="shared" si="3"/>
        <v>72.73805082607267</v>
      </c>
      <c r="E73" s="273">
        <f t="shared" si="5"/>
        <v>-4000954.0999999996</v>
      </c>
    </row>
    <row r="74" spans="1:5" ht="13.5" customHeight="1">
      <c r="A74" s="274" t="s">
        <v>36</v>
      </c>
      <c r="B74" s="275">
        <f>Лист1!B63+Лист2!B53+Лист3!B49+Лист4!B49+Лист5!B49+Лист6!B49+Лист7!B57+Лист8!B50+Лист9!B53+Лист10!B50</f>
        <v>14452850</v>
      </c>
      <c r="C74" s="275">
        <f>Лист1!C63+Лист2!C53+Лист3!C49+Лист4!C49+Лист5!C49+Лист6!C49+Лист7!C57+Лист8!C50+Лист9!C53+Лист10!C50</f>
        <v>10504060.98</v>
      </c>
      <c r="D74" s="272">
        <f t="shared" si="3"/>
        <v>72.67812908872645</v>
      </c>
      <c r="E74" s="273">
        <f t="shared" si="5"/>
        <v>-3948789.0199999996</v>
      </c>
    </row>
    <row r="75" spans="1:5" ht="15">
      <c r="A75" s="274" t="s">
        <v>121</v>
      </c>
      <c r="B75" s="275">
        <f>Лист1!B64+Лист2!B54+Лист3!B50+Лист4!B50+Лист5!B50+Лист6!B50+Лист7!B58+Лист8!B51+Лист9!B54+Лист10!B51</f>
        <v>9093730</v>
      </c>
      <c r="C75" s="275">
        <f>Лист1!C64+Лист2!C54+Лист3!C50+Лист4!C50+Лист5!C50+Лист6!C50+Лист7!C58+Лист8!C51+Лист9!C54+Лист10!C51</f>
        <v>6991720.6000000015</v>
      </c>
      <c r="D75" s="272">
        <f t="shared" si="3"/>
        <v>76.88506916303872</v>
      </c>
      <c r="E75" s="273">
        <f t="shared" si="5"/>
        <v>-2102009.3999999985</v>
      </c>
    </row>
    <row r="76" spans="1:5" ht="15">
      <c r="A76" s="85" t="s">
        <v>288</v>
      </c>
      <c r="B76" s="275">
        <f>Лист1!B65+Лист2!B55+Лист3!B51+Лист4!B51+Лист5!B51+Лист6!B51+Лист7!B59+Лист8!B52+Лист9!B55+Лист10!B52</f>
        <v>1400</v>
      </c>
      <c r="C76" s="275">
        <f>Лист1!C65+Лист2!C55+Лист3!C51+Лист4!C51+Лист5!C51+Лист6!C51+Лист7!C59+Лист8!C52+Лист9!C55+Лист10!C52</f>
        <v>700</v>
      </c>
      <c r="D76" s="272">
        <f>IF(B76=0,"   ",C76/B76*100)</f>
        <v>50</v>
      </c>
      <c r="E76" s="273">
        <f>C76-B76</f>
        <v>-700</v>
      </c>
    </row>
    <row r="77" spans="1:5" ht="15">
      <c r="A77" s="274" t="s">
        <v>95</v>
      </c>
      <c r="B77" s="275">
        <f>Лист1!B66+Лист2!B56+Лист3!B52+Лист4!B52+Лист5!B52+Лист6!B52+Лист7!B60+Лист8!B53+Лист9!B56+Лист10!B53</f>
        <v>12500</v>
      </c>
      <c r="C77" s="275">
        <f>Лист1!C66+Лист2!C56+Лист3!C52+Лист4!C52+Лист5!C52+Лист6!C52+Лист7!C60+Лист8!C53+Лист9!C56+Лист10!C53</f>
        <v>0</v>
      </c>
      <c r="D77" s="272">
        <f t="shared" si="3"/>
        <v>0</v>
      </c>
      <c r="E77" s="273">
        <f t="shared" si="5"/>
        <v>-12500</v>
      </c>
    </row>
    <row r="78" spans="1:5" ht="15">
      <c r="A78" s="274" t="s">
        <v>52</v>
      </c>
      <c r="B78" s="276">
        <f>SUM(B79:B83)</f>
        <v>210614.93</v>
      </c>
      <c r="C78" s="276">
        <f>SUM(C79:C83)</f>
        <v>170949.85</v>
      </c>
      <c r="D78" s="272">
        <f t="shared" si="3"/>
        <v>81.16701413332854</v>
      </c>
      <c r="E78" s="273">
        <f t="shared" si="5"/>
        <v>-39665.07999999999</v>
      </c>
    </row>
    <row r="79" spans="1:5" ht="30.75">
      <c r="A79" s="292" t="s">
        <v>243</v>
      </c>
      <c r="B79" s="275">
        <f>Лист7!B63</f>
        <v>2000</v>
      </c>
      <c r="C79" s="275">
        <f>Лист7!C63</f>
        <v>0</v>
      </c>
      <c r="D79" s="272">
        <f>IF(B79=0,"   ",C79/B79*100)</f>
        <v>0</v>
      </c>
      <c r="E79" s="273">
        <f>C79-B79</f>
        <v>-2000</v>
      </c>
    </row>
    <row r="80" spans="1:5" ht="47.25" customHeight="1">
      <c r="A80" s="292" t="s">
        <v>244</v>
      </c>
      <c r="B80" s="275">
        <f>Лист3!B54+Лист7!B62+Лист1!B68+Лист2!B58+Лист4!B55+Лист5!B54+Лист6!B54+Лист8!B55+Лист9!B59+Лист10!B55</f>
        <v>147720.38</v>
      </c>
      <c r="C80" s="275">
        <f>Лист3!C54+Лист7!C62+Лист1!C68+Лист2!C58+Лист4!C55+Лист5!C54+Лист6!C54+Лист8!C55+Лист9!C59+Лист10!C55</f>
        <v>112465.3</v>
      </c>
      <c r="D80" s="272">
        <f>IF(B80=0,"   ",C80/B80*100)</f>
        <v>76.13390921415176</v>
      </c>
      <c r="E80" s="273">
        <f>C80-B80</f>
        <v>-35255.08</v>
      </c>
    </row>
    <row r="81" spans="1:5" ht="26.25" customHeight="1">
      <c r="A81" s="292" t="s">
        <v>307</v>
      </c>
      <c r="B81" s="275">
        <f>Лист3!B55</f>
        <v>0</v>
      </c>
      <c r="C81" s="275">
        <f>Лист3!C55</f>
        <v>0</v>
      </c>
      <c r="D81" s="272" t="str">
        <f t="shared" si="3"/>
        <v>   </v>
      </c>
      <c r="E81" s="273">
        <f>C81-B81</f>
        <v>0</v>
      </c>
    </row>
    <row r="82" spans="1:5" ht="33" customHeight="1">
      <c r="A82" s="292" t="s">
        <v>223</v>
      </c>
      <c r="B82" s="275">
        <f>Лист4!B54+Лист7!B65+Лист5!B55+Лист1!B69</f>
        <v>60894.55</v>
      </c>
      <c r="C82" s="275">
        <f>Лист4!C54+Лист7!C65+Лист5!C55+Лист1!C69</f>
        <v>58484.55</v>
      </c>
      <c r="D82" s="272">
        <f>IF(B82=0,"   ",C82/B82*100)</f>
        <v>96.04233876430649</v>
      </c>
      <c r="E82" s="273">
        <f>C82-B82</f>
        <v>-2410</v>
      </c>
    </row>
    <row r="83" spans="1:5" ht="33" customHeight="1">
      <c r="A83" s="292" t="s">
        <v>249</v>
      </c>
      <c r="B83" s="275">
        <f>Лист7!B64</f>
        <v>0</v>
      </c>
      <c r="C83" s="275">
        <f>Лист7!C64</f>
        <v>0</v>
      </c>
      <c r="D83" s="275" t="str">
        <f>Лист7!D64</f>
        <v>   </v>
      </c>
      <c r="E83" s="275">
        <f>Лист7!E64</f>
        <v>0</v>
      </c>
    </row>
    <row r="84" spans="1:5" ht="15">
      <c r="A84" s="274" t="s">
        <v>49</v>
      </c>
      <c r="B84" s="276">
        <f>SUM(B85)</f>
        <v>1264800</v>
      </c>
      <c r="C84" s="276">
        <f>SUM(C85)</f>
        <v>980560.1900000001</v>
      </c>
      <c r="D84" s="272">
        <f t="shared" si="3"/>
        <v>77.526896742568</v>
      </c>
      <c r="E84" s="273">
        <f t="shared" si="5"/>
        <v>-284239.80999999994</v>
      </c>
    </row>
    <row r="85" spans="1:5" ht="33" customHeight="1">
      <c r="A85" s="274" t="s">
        <v>107</v>
      </c>
      <c r="B85" s="275">
        <f>Лист1!B71+Лист2!B60+Лист3!B57+Лист4!B57+Лист5!B57+Лист6!B56+Лист7!B67+Лист8!B57+Лист9!B61+Лист10!B57</f>
        <v>1264800</v>
      </c>
      <c r="C85" s="275">
        <f>Лист1!C71+Лист2!C60+Лист3!C57+Лист4!C57+Лист5!C57+Лист6!C56+Лист7!C67+Лист8!C57+Лист9!C61+Лист10!C57</f>
        <v>980560.1900000001</v>
      </c>
      <c r="D85" s="272">
        <f t="shared" si="3"/>
        <v>77.526896742568</v>
      </c>
      <c r="E85" s="273">
        <f t="shared" si="5"/>
        <v>-284239.80999999994</v>
      </c>
    </row>
    <row r="86" spans="1:5" ht="30.75">
      <c r="A86" s="274" t="s">
        <v>37</v>
      </c>
      <c r="B86" s="275">
        <f>Лист1!B72+Лист2!B61+Лист3!B58+Лист4!B58+Лист5!B58+Лист6!B57+Лист7!B68+Лист8!B58+Лист9!B62+Лист10!B58</f>
        <v>993600</v>
      </c>
      <c r="C86" s="275">
        <f>Лист1!C72+Лист2!C61+Лист3!C58+Лист4!C58+Лист5!C58+Лист6!C57+Лист7!C68+Лист8!C58+Лист9!C62+Лист10!C58</f>
        <v>627334.12</v>
      </c>
      <c r="D86" s="272">
        <f t="shared" si="3"/>
        <v>63.137491948470206</v>
      </c>
      <c r="E86" s="273">
        <f t="shared" si="5"/>
        <v>-366265.88</v>
      </c>
    </row>
    <row r="87" spans="1:5" ht="45" customHeight="1">
      <c r="A87" s="274" t="s">
        <v>87</v>
      </c>
      <c r="B87" s="276">
        <f>Лист7!B69</f>
        <v>928400</v>
      </c>
      <c r="C87" s="276">
        <f>Лист7!C69</f>
        <v>616134.12</v>
      </c>
      <c r="D87" s="272">
        <f t="shared" si="3"/>
        <v>66.3651572598018</v>
      </c>
      <c r="E87" s="273">
        <f t="shared" si="5"/>
        <v>-312265.88</v>
      </c>
    </row>
    <row r="88" spans="1:5" ht="18.75" customHeight="1">
      <c r="A88" s="274" t="s">
        <v>96</v>
      </c>
      <c r="B88" s="275">
        <f>Лист7!B70</f>
        <v>928400</v>
      </c>
      <c r="C88" s="275">
        <f>Лист7!C70</f>
        <v>616134.12</v>
      </c>
      <c r="D88" s="272">
        <f t="shared" si="3"/>
        <v>66.3651572598018</v>
      </c>
      <c r="E88" s="273">
        <f t="shared" si="5"/>
        <v>-312265.88</v>
      </c>
    </row>
    <row r="89" spans="1:5" ht="15.75" customHeight="1">
      <c r="A89" s="274" t="s">
        <v>121</v>
      </c>
      <c r="B89" s="275">
        <f>Лист7!B71</f>
        <v>687711</v>
      </c>
      <c r="C89" s="275">
        <f>Лист7!C71</f>
        <v>482729.19</v>
      </c>
      <c r="D89" s="272">
        <f t="shared" si="3"/>
        <v>70.19361185148995</v>
      </c>
      <c r="E89" s="273">
        <f t="shared" si="5"/>
        <v>-204981.81</v>
      </c>
    </row>
    <row r="90" spans="1:5" ht="15">
      <c r="A90" s="274" t="s">
        <v>97</v>
      </c>
      <c r="B90" s="275">
        <f>Лист1!B73+Лист2!B62+Лист3!B59+Лист4!B59+Лист5!B59+Лист6!B58+Лист7!B72+Лист8!B59+Лист9!B63+Лист10!B59</f>
        <v>65200</v>
      </c>
      <c r="C90" s="275">
        <f>Лист1!C73+Лист2!C62+Лист3!C59+Лист4!C59+Лист5!C59+Лист6!C58+Лист7!C72+Лист8!C59+Лист9!C63+Лист10!C59</f>
        <v>11200</v>
      </c>
      <c r="D90" s="272">
        <f t="shared" si="3"/>
        <v>17.177914110429448</v>
      </c>
      <c r="E90" s="273">
        <f t="shared" si="5"/>
        <v>-54000</v>
      </c>
    </row>
    <row r="91" spans="1:5" ht="15">
      <c r="A91" s="274" t="s">
        <v>38</v>
      </c>
      <c r="B91" s="276">
        <f>B99+B94+B114+B97+B92</f>
        <v>22874008.9</v>
      </c>
      <c r="C91" s="276">
        <f>C99+C94+C114+C97+C92</f>
        <v>15771545.389999999</v>
      </c>
      <c r="D91" s="272">
        <f t="shared" si="3"/>
        <v>68.94963387900054</v>
      </c>
      <c r="E91" s="273">
        <f t="shared" si="5"/>
        <v>-7102463.51</v>
      </c>
    </row>
    <row r="92" spans="1:5" ht="15">
      <c r="A92" s="293" t="s">
        <v>241</v>
      </c>
      <c r="B92" s="276">
        <f>B93</f>
        <v>271300</v>
      </c>
      <c r="C92" s="276">
        <f>C93</f>
        <v>96925.48</v>
      </c>
      <c r="D92" s="272">
        <f>IF(B92=0,"   ",C92/B92*100)</f>
        <v>35.72631035753778</v>
      </c>
      <c r="E92" s="273">
        <f t="shared" si="5"/>
        <v>-174374.52000000002</v>
      </c>
    </row>
    <row r="93" spans="1:5" ht="30.75">
      <c r="A93" s="294" t="s">
        <v>242</v>
      </c>
      <c r="B93" s="276">
        <f>Лист7!B75</f>
        <v>271300</v>
      </c>
      <c r="C93" s="276">
        <f>Лист7!C75</f>
        <v>96925.48</v>
      </c>
      <c r="D93" s="272">
        <f>IF(B93=0,"   ",C93/B93*100)</f>
        <v>35.72631035753778</v>
      </c>
      <c r="E93" s="273">
        <f t="shared" si="5"/>
        <v>-174374.52000000002</v>
      </c>
    </row>
    <row r="94" spans="1:5" ht="15.75" customHeight="1">
      <c r="A94" s="295" t="s">
        <v>173</v>
      </c>
      <c r="B94" s="276">
        <f>B96+B95</f>
        <v>184900</v>
      </c>
      <c r="C94" s="276">
        <f>C96+C95</f>
        <v>0</v>
      </c>
      <c r="D94" s="272">
        <f t="shared" si="3"/>
        <v>0</v>
      </c>
      <c r="E94" s="273">
        <f>C94-B94</f>
        <v>-184900</v>
      </c>
    </row>
    <row r="95" spans="1:5" ht="30" customHeight="1">
      <c r="A95" s="294" t="s">
        <v>169</v>
      </c>
      <c r="B95" s="276">
        <f>Лист10!B62+Лист7!B77+Лист2!B66+Лист6!B62+Лист1!B77+Лист3!B63+Лист4!B63+Лист5!B63+Лист8!B63+Лист9!B67</f>
        <v>60000</v>
      </c>
      <c r="C95" s="276">
        <f>Лист10!C62+Лист7!C77+Лист2!C66+Лист6!C62+Лист1!C77+Лист3!C63+Лист4!C63+Лист5!C63+Лист8!C63+Лист9!C67</f>
        <v>0</v>
      </c>
      <c r="D95" s="272">
        <f t="shared" si="3"/>
        <v>0</v>
      </c>
      <c r="E95" s="273">
        <f>C95-B95</f>
        <v>-60000</v>
      </c>
    </row>
    <row r="96" spans="1:5" ht="30.75">
      <c r="A96" s="296" t="s">
        <v>166</v>
      </c>
      <c r="B96" s="276">
        <f>Лист1!B76+Лист2!B65+Лист3!B62+Лист4!B62+Лист5!B62+Лист6!B61+Лист7!B78+Лист8!B62+Лист9!B66+Лист10!B63</f>
        <v>124900</v>
      </c>
      <c r="C96" s="276">
        <f>Лист1!C76+Лист2!C65+Лист3!C62+Лист4!C62+Лист5!C62+Лист6!C61+Лист7!C78+Лист8!C62+Лист9!C66+Лист10!C63</f>
        <v>0</v>
      </c>
      <c r="D96" s="272">
        <f t="shared" si="3"/>
        <v>0</v>
      </c>
      <c r="E96" s="273">
        <f>C96-B96</f>
        <v>-124900</v>
      </c>
    </row>
    <row r="97" spans="1:5" ht="15">
      <c r="A97" s="293" t="s">
        <v>235</v>
      </c>
      <c r="B97" s="276">
        <f>B98</f>
        <v>274286.77</v>
      </c>
      <c r="C97" s="276">
        <f>C98</f>
        <v>157506.95</v>
      </c>
      <c r="D97" s="272">
        <f>IF(B97=0,"   ",C97/B97*100)</f>
        <v>57.42418783086038</v>
      </c>
      <c r="E97" s="273">
        <f>C97-B97</f>
        <v>-116779.82</v>
      </c>
    </row>
    <row r="98" spans="1:5" ht="30.75">
      <c r="A98" s="294" t="s">
        <v>232</v>
      </c>
      <c r="B98" s="276">
        <f>Лист7!B80+Лист2!B68+Лист1!B79+Лист6!B64+Лист8!B65</f>
        <v>274286.77</v>
      </c>
      <c r="C98" s="276">
        <f>Лист7!C80+Лист2!C68+Лист1!C79+Лист6!C64+Лист8!C65</f>
        <v>157506.95</v>
      </c>
      <c r="D98" s="272">
        <f>IF(B98=0,"   ",C98/B98*100)</f>
        <v>57.42418783086038</v>
      </c>
      <c r="E98" s="273">
        <f>C98-B98</f>
        <v>-116779.82</v>
      </c>
    </row>
    <row r="99" spans="1:5" ht="15">
      <c r="A99" s="297" t="s">
        <v>131</v>
      </c>
      <c r="B99" s="276">
        <f>SUM(B100,B104:B113)</f>
        <v>21725522.13</v>
      </c>
      <c r="C99" s="276">
        <f>SUM(C100,C104:C113)</f>
        <v>15306317.889999999</v>
      </c>
      <c r="D99" s="272">
        <f aca="true" t="shared" si="6" ref="D99:D120">IF(B99=0,"   ",C99/B99*100)</f>
        <v>70.45316470835952</v>
      </c>
      <c r="E99" s="273">
        <f t="shared" si="5"/>
        <v>-6419204.24</v>
      </c>
    </row>
    <row r="100" spans="1:5" ht="30.75">
      <c r="A100" s="292" t="s">
        <v>206</v>
      </c>
      <c r="B100" s="276">
        <f>Лист1!B82</f>
        <v>547029.64</v>
      </c>
      <c r="C100" s="276">
        <f>Лист1!C82</f>
        <v>547011.86</v>
      </c>
      <c r="D100" s="272">
        <f t="shared" si="6"/>
        <v>99.99674971908286</v>
      </c>
      <c r="E100" s="273">
        <f t="shared" si="5"/>
        <v>-17.78000000002794</v>
      </c>
    </row>
    <row r="101" spans="1:5" ht="46.5">
      <c r="A101" s="292" t="s">
        <v>216</v>
      </c>
      <c r="B101" s="276">
        <f>Лист1!B83</f>
        <v>328217.78</v>
      </c>
      <c r="C101" s="276">
        <f>Лист1!C83</f>
        <v>328200</v>
      </c>
      <c r="D101" s="272">
        <f t="shared" si="6"/>
        <v>99.99458286507208</v>
      </c>
      <c r="E101" s="273">
        <f t="shared" si="5"/>
        <v>-17.78000000002794</v>
      </c>
    </row>
    <row r="102" spans="1:5" ht="46.5">
      <c r="A102" s="292" t="s">
        <v>207</v>
      </c>
      <c r="B102" s="276">
        <f>Лист1!B84</f>
        <v>109811.86</v>
      </c>
      <c r="C102" s="276">
        <f>Лист1!C84</f>
        <v>109811.86</v>
      </c>
      <c r="D102" s="272">
        <f t="shared" si="6"/>
        <v>100</v>
      </c>
      <c r="E102" s="273">
        <f t="shared" si="5"/>
        <v>0</v>
      </c>
    </row>
    <row r="103" spans="1:5" ht="46.5">
      <c r="A103" s="292" t="s">
        <v>217</v>
      </c>
      <c r="B103" s="276">
        <f>Лист1!B85</f>
        <v>109000</v>
      </c>
      <c r="C103" s="276">
        <f>Лист1!C85</f>
        <v>109000</v>
      </c>
      <c r="D103" s="272">
        <f t="shared" si="6"/>
        <v>100</v>
      </c>
      <c r="E103" s="273">
        <f t="shared" si="5"/>
        <v>0</v>
      </c>
    </row>
    <row r="104" spans="1:5" ht="30.75">
      <c r="A104" s="296" t="s">
        <v>282</v>
      </c>
      <c r="B104" s="276">
        <f>Лист1!B81+Лист2!B70+Лист3!B65+Лист4!B65+Лист5!B65+Лист6!B66+Лист7!B82+Лист8!B67+Лист9!B69+Лист10!B65</f>
        <v>630000</v>
      </c>
      <c r="C104" s="276">
        <f>Лист1!C81+Лист2!C70+Лист3!C65+Лист4!C65+Лист5!C65+Лист6!C66+Лист7!C82+Лист8!C67+Лист9!C69+Лист10!C65</f>
        <v>364893.03</v>
      </c>
      <c r="D104" s="272">
        <f>IF(B104=0,"   ",C104/B104*100)</f>
        <v>57.91952857142858</v>
      </c>
      <c r="E104" s="273">
        <f>C104-B104</f>
        <v>-265106.97</v>
      </c>
    </row>
    <row r="105" spans="1:5" ht="30.75">
      <c r="A105" s="294" t="s">
        <v>269</v>
      </c>
      <c r="B105" s="276">
        <f>Лист7!B89</f>
        <v>130000</v>
      </c>
      <c r="C105" s="276">
        <f>Лист7!C89</f>
        <v>0</v>
      </c>
      <c r="D105" s="272">
        <f>IF(B105=0,"   ",C105/B105*100)</f>
        <v>0</v>
      </c>
      <c r="E105" s="273">
        <f>C105-B105</f>
        <v>-130000</v>
      </c>
    </row>
    <row r="106" spans="1:5" ht="42.75" customHeight="1">
      <c r="A106" s="292" t="s">
        <v>257</v>
      </c>
      <c r="B106" s="276">
        <f>Лист1!B86+Лист2!B71+Лист3!B66+Лист4!B66+Лист5!B66+Лист6!B67+Лист7!B83+Лист8!B68+Лист9!B70+Лист10!B66</f>
        <v>4721516.449999999</v>
      </c>
      <c r="C106" s="276">
        <f>Лист1!C86+Лист2!C71+Лист3!C66+Лист4!C66+Лист5!C66+Лист6!C67+Лист7!C83+Лист8!C68+Лист9!C70+Лист10!C66</f>
        <v>1874775.83</v>
      </c>
      <c r="D106" s="272">
        <f>IF(B106=0,"   ",C106/B106*100)</f>
        <v>39.70706974874567</v>
      </c>
      <c r="E106" s="273">
        <f>C106-B106</f>
        <v>-2846740.619999999</v>
      </c>
    </row>
    <row r="107" spans="1:5" ht="45" customHeight="1">
      <c r="A107" s="292" t="s">
        <v>258</v>
      </c>
      <c r="B107" s="276">
        <f>Лист1!B87+Лист2!B72+Лист3!B67+Лист4!B67+Лист5!B67+Лист6!B68+Лист7!B84+Лист8!B69+Лист9!B71+Лист10!B67</f>
        <v>1524376.04</v>
      </c>
      <c r="C107" s="276">
        <f>Лист1!C87+Лист2!C72+Лист3!C67+Лист4!C67+Лист5!C67+Лист6!C68+Лист7!C84+Лист8!C69+Лист9!C71+Лист10!C67</f>
        <v>884502.57</v>
      </c>
      <c r="D107" s="272">
        <f t="shared" si="6"/>
        <v>58.023909244860604</v>
      </c>
      <c r="E107" s="273">
        <f t="shared" si="5"/>
        <v>-639873.4700000001</v>
      </c>
    </row>
    <row r="108" spans="1:5" ht="44.25" customHeight="1">
      <c r="A108" s="292" t="s">
        <v>259</v>
      </c>
      <c r="B108" s="276">
        <f>Лист1!B88+Лист2!B73+Лист3!B68+Лист4!B68+Лист5!B68+Лист6!B69+Лист7!B85+Лист8!B70+Лист9!B72+Лист10!B68</f>
        <v>6600100</v>
      </c>
      <c r="C108" s="276">
        <f>Лист1!C88+Лист2!C73+Лист3!C68+Лист4!C68+Лист5!C68+Лист6!C69+Лист7!C85+Лист8!C70+Лист9!C72+Лист10!C68</f>
        <v>6336734.59</v>
      </c>
      <c r="D108" s="272">
        <f t="shared" si="6"/>
        <v>96.00967545946273</v>
      </c>
      <c r="E108" s="273">
        <f t="shared" si="5"/>
        <v>-263365.41000000015</v>
      </c>
    </row>
    <row r="109" spans="1:5" ht="48" customHeight="1">
      <c r="A109" s="292" t="s">
        <v>260</v>
      </c>
      <c r="B109" s="276">
        <f>Лист1!B89+Лист2!B74+Лист3!B69+Лист4!B69+Лист5!B69+Лист6!B70+Лист7!B86+Лист8!B71+Лист9!B73+Лист10!B69</f>
        <v>733600</v>
      </c>
      <c r="C109" s="276">
        <f>Лист1!C89+Лист2!C74+Лист3!C69+Лист4!C69+Лист5!C69+Лист6!C70+Лист7!C86+Лист8!C71+Лист9!C73+Лист10!C69</f>
        <v>711363.01</v>
      </c>
      <c r="D109" s="272">
        <f t="shared" si="6"/>
        <v>96.96878544165757</v>
      </c>
      <c r="E109" s="273">
        <f t="shared" si="5"/>
        <v>-22236.98999999999</v>
      </c>
    </row>
    <row r="110" spans="1:5" ht="48" customHeight="1">
      <c r="A110" s="292" t="s">
        <v>261</v>
      </c>
      <c r="B110" s="276">
        <f>Лист1!B90+Лист2!B75+Лист3!B70+Лист4!B70+Лист5!B70+Лист6!B71+Лист7!B87+Лист8!B72+Лист9!B74+Лист10!B70</f>
        <v>4626700</v>
      </c>
      <c r="C110" s="276">
        <f>Лист1!C90+Лист2!C75+Лист3!C70+Лист4!C70+Лист5!C70+Лист6!C71+Лист7!C87+Лист8!C72+Лист9!C74+Лист10!C70</f>
        <v>2600403</v>
      </c>
      <c r="D110" s="272">
        <f t="shared" si="6"/>
        <v>56.20427086260186</v>
      </c>
      <c r="E110" s="273">
        <f>C110-B110</f>
        <v>-2026297</v>
      </c>
    </row>
    <row r="111" spans="1:5" ht="46.5" customHeight="1">
      <c r="A111" s="292" t="s">
        <v>262</v>
      </c>
      <c r="B111" s="276">
        <f>Лист1!B91+Лист2!B76+Лист3!B71+Лист4!B71+Лист5!B71+Лист6!B72+Лист7!B88+Лист8!B73+Лист9!B75+Лист10!B71</f>
        <v>514500</v>
      </c>
      <c r="C111" s="276">
        <f>Лист1!C91+Лист2!C76+Лист3!C71+Лист4!C71+Лист5!C71+Лист6!C72+Лист7!C88+Лист8!C73+Лист9!C75+Лист10!C71</f>
        <v>288934</v>
      </c>
      <c r="D111" s="272">
        <f t="shared" si="6"/>
        <v>56.158211856171036</v>
      </c>
      <c r="E111" s="273">
        <f t="shared" si="5"/>
        <v>-225566</v>
      </c>
    </row>
    <row r="112" spans="1:5" ht="45" customHeight="1">
      <c r="A112" s="292" t="s">
        <v>141</v>
      </c>
      <c r="B112" s="276">
        <f>Лист7!B90</f>
        <v>1612800</v>
      </c>
      <c r="C112" s="276">
        <f>Лист7!C90</f>
        <v>1612800</v>
      </c>
      <c r="D112" s="272">
        <f t="shared" si="6"/>
        <v>100</v>
      </c>
      <c r="E112" s="273">
        <f t="shared" si="5"/>
        <v>0</v>
      </c>
    </row>
    <row r="113" spans="1:5" ht="36" customHeight="1">
      <c r="A113" s="292" t="s">
        <v>246</v>
      </c>
      <c r="B113" s="276">
        <f>Лист7!B91</f>
        <v>84900</v>
      </c>
      <c r="C113" s="276">
        <f>Лист7!C91</f>
        <v>84900</v>
      </c>
      <c r="D113" s="272">
        <f>IF(B113=0,"   ",C113/B113*100)</f>
        <v>100</v>
      </c>
      <c r="E113" s="273">
        <f>C113-B113</f>
        <v>0</v>
      </c>
    </row>
    <row r="114" spans="1:5" ht="18.75" customHeight="1">
      <c r="A114" s="297" t="s">
        <v>177</v>
      </c>
      <c r="B114" s="276">
        <f>B115+B116</f>
        <v>418000</v>
      </c>
      <c r="C114" s="276">
        <f>C115+C116</f>
        <v>210795.07</v>
      </c>
      <c r="D114" s="272">
        <f t="shared" si="6"/>
        <v>50.429442583732055</v>
      </c>
      <c r="E114" s="273">
        <f aca="true" t="shared" si="7" ref="E114:E166">C114-B114</f>
        <v>-207204.93</v>
      </c>
    </row>
    <row r="115" spans="1:5" ht="63.75" customHeight="1">
      <c r="A115" s="292" t="s">
        <v>155</v>
      </c>
      <c r="B115" s="276">
        <f>Лист1!B93+Лист2!B78+Лист7!B93+Лист9!B77</f>
        <v>174100</v>
      </c>
      <c r="C115" s="276">
        <f>Лист1!C93+Лист2!C78+Лист7!C93+Лист9!C77</f>
        <v>95000</v>
      </c>
      <c r="D115" s="272">
        <f t="shared" si="6"/>
        <v>54.566341183228026</v>
      </c>
      <c r="E115" s="273">
        <f>C115-B115</f>
        <v>-79100</v>
      </c>
    </row>
    <row r="116" spans="1:5" ht="44.25" customHeight="1">
      <c r="A116" s="294" t="s">
        <v>178</v>
      </c>
      <c r="B116" s="276">
        <f>Лист1!B94+Лист2!B79+Лист3!B73+Лист4!B73+Лист5!B73+Лист6!B74+Лист7!B94+Лист8!B75+Лист9!B78+Лист10!B73</f>
        <v>243900</v>
      </c>
      <c r="C116" s="276">
        <f>Лист1!C94+Лист2!C79+Лист3!C73+Лист4!C73+Лист5!C73+Лист6!C74+Лист7!C94+Лист8!C75+Лист9!C78+Лист10!C73</f>
        <v>115795.07</v>
      </c>
      <c r="D116" s="272">
        <f>IF(B116=0,"   ",C116/B116*100)</f>
        <v>47.47645346453464</v>
      </c>
      <c r="E116" s="273">
        <f>C116-B116</f>
        <v>-128104.93</v>
      </c>
    </row>
    <row r="117" spans="1:5" ht="15.75" customHeight="1">
      <c r="A117" s="274" t="s">
        <v>13</v>
      </c>
      <c r="B117" s="275">
        <f>SUM(B118,B121,B132,)</f>
        <v>89565510.78</v>
      </c>
      <c r="C117" s="275">
        <f>SUM(C118,C121,C132,)</f>
        <v>22652178.73</v>
      </c>
      <c r="D117" s="272">
        <f t="shared" si="6"/>
        <v>25.291184667768608</v>
      </c>
      <c r="E117" s="273">
        <f t="shared" si="7"/>
        <v>-66913332.05</v>
      </c>
    </row>
    <row r="118" spans="1:5" ht="14.25" customHeight="1">
      <c r="A118" s="274" t="s">
        <v>14</v>
      </c>
      <c r="B118" s="275">
        <f>SUM(B119:B120)</f>
        <v>412790.5</v>
      </c>
      <c r="C118" s="275">
        <f>SUM(C119:C120)</f>
        <v>124620.88</v>
      </c>
      <c r="D118" s="272">
        <f t="shared" si="6"/>
        <v>30.18986144303224</v>
      </c>
      <c r="E118" s="273">
        <f t="shared" si="7"/>
        <v>-288169.62</v>
      </c>
    </row>
    <row r="119" spans="1:5" ht="14.25" customHeight="1">
      <c r="A119" s="274" t="s">
        <v>92</v>
      </c>
      <c r="B119" s="275">
        <f>Лист7!B97+Лист9!B81+Лист1!B99</f>
        <v>300000</v>
      </c>
      <c r="C119" s="275">
        <f>Лист7!C97+Лист9!C81+Лист1!C99</f>
        <v>81830.38</v>
      </c>
      <c r="D119" s="272">
        <f t="shared" si="6"/>
        <v>27.276793333333334</v>
      </c>
      <c r="E119" s="273">
        <f t="shared" si="7"/>
        <v>-218169.62</v>
      </c>
    </row>
    <row r="120" spans="1:5" ht="21.75" customHeight="1">
      <c r="A120" s="274" t="s">
        <v>183</v>
      </c>
      <c r="B120" s="275">
        <f>Лист7!B98</f>
        <v>112790.5</v>
      </c>
      <c r="C120" s="275">
        <f>Лист7!C98</f>
        <v>42790.5</v>
      </c>
      <c r="D120" s="272">
        <f t="shared" si="6"/>
        <v>37.93803556150562</v>
      </c>
      <c r="E120" s="273">
        <f>C120-B120</f>
        <v>-70000</v>
      </c>
    </row>
    <row r="121" spans="1:5" ht="14.25" customHeight="1">
      <c r="A121" s="274" t="s">
        <v>70</v>
      </c>
      <c r="B121" s="275">
        <f>SUM(B122:B125:B127,B128)</f>
        <v>19951079.56</v>
      </c>
      <c r="C121" s="275">
        <f>SUM(C122:C125:C127,C128)</f>
        <v>896576.96</v>
      </c>
      <c r="D121" s="272">
        <f aca="true" t="shared" si="8" ref="D121:D149">IF(B121=0,"   ",C121/B121*100)</f>
        <v>4.493876921816054</v>
      </c>
      <c r="E121" s="273">
        <f t="shared" si="7"/>
        <v>-19054502.599999998</v>
      </c>
    </row>
    <row r="122" spans="1:5" ht="15">
      <c r="A122" s="274" t="s">
        <v>71</v>
      </c>
      <c r="B122" s="275">
        <f>Лист7!B107</f>
        <v>300000</v>
      </c>
      <c r="C122" s="275">
        <f>Лист7!C107</f>
        <v>201000</v>
      </c>
      <c r="D122" s="272">
        <f t="shared" si="8"/>
        <v>67</v>
      </c>
      <c r="E122" s="273">
        <f t="shared" si="7"/>
        <v>-99000</v>
      </c>
    </row>
    <row r="123" spans="1:5" ht="30.75">
      <c r="A123" s="274" t="s">
        <v>301</v>
      </c>
      <c r="B123" s="275">
        <f>Лист1!B101+Лист2!B83+Лист3!B76+Лист5!B76+Лист6!B79+Лист7!B106+Лист8!B81+Лист9!B83+Лист10!B76</f>
        <v>18013890</v>
      </c>
      <c r="C123" s="275">
        <f>Лист1!C101+Лист2!C83+Лист3!C76+Лист5!C76+Лист6!C79+Лист7!C106+Лист8!C81+Лист9!C83+Лист10!C76</f>
        <v>0</v>
      </c>
      <c r="D123" s="272">
        <f t="shared" si="8"/>
        <v>0</v>
      </c>
      <c r="E123" s="273">
        <f>C123-B123</f>
        <v>-18013890</v>
      </c>
    </row>
    <row r="124" spans="1:5" ht="30.75">
      <c r="A124" s="274" t="s">
        <v>306</v>
      </c>
      <c r="B124" s="275">
        <f>Лист3!B77+Лист6!B80+Лист9!B84+Лист1!B102+Лист5!B77+Лист8!B82</f>
        <v>751132</v>
      </c>
      <c r="C124" s="275">
        <f>Лист3!C77+Лист6!C80+Лист9!C84+Лист1!C102+Лист5!C77+Лист8!C82</f>
        <v>15570</v>
      </c>
      <c r="D124" s="272">
        <f>IF(B124=0,"   ",C124/B124*100)</f>
        <v>2.072871346181497</v>
      </c>
      <c r="E124" s="273">
        <f>C124-B124</f>
        <v>-735562</v>
      </c>
    </row>
    <row r="125" spans="1:5" ht="46.5">
      <c r="A125" s="274" t="s">
        <v>195</v>
      </c>
      <c r="B125" s="275">
        <f>Лист8!B80+Лист7!B100+Лист6!B77+Лист2!B82</f>
        <v>163220.36</v>
      </c>
      <c r="C125" s="275">
        <f>Лист8!C80+Лист7!C100+Лист6!C77+Лист2!C82</f>
        <v>72468.31</v>
      </c>
      <c r="D125" s="272">
        <f t="shared" si="8"/>
        <v>44.39906271497012</v>
      </c>
      <c r="E125" s="273">
        <f>C125-B125</f>
        <v>-90752.04999999999</v>
      </c>
    </row>
    <row r="126" spans="1:5" ht="30.75">
      <c r="A126" s="270" t="s">
        <v>225</v>
      </c>
      <c r="B126" s="275">
        <f>Лист4!B75</f>
        <v>0</v>
      </c>
      <c r="C126" s="275">
        <f>Лист4!C75</f>
        <v>0</v>
      </c>
      <c r="D126" s="272" t="str">
        <f t="shared" si="8"/>
        <v>   </v>
      </c>
      <c r="E126" s="273">
        <f>C126-B126</f>
        <v>0</v>
      </c>
    </row>
    <row r="127" spans="1:5" ht="17.25" customHeight="1">
      <c r="A127" s="270" t="s">
        <v>159</v>
      </c>
      <c r="B127" s="275">
        <f>Лист7!B101+Лист6!B78</f>
        <v>210400</v>
      </c>
      <c r="C127" s="275">
        <f>Лист7!C101+Лист6!C78</f>
        <v>210400</v>
      </c>
      <c r="D127" s="272">
        <f t="shared" si="8"/>
        <v>100</v>
      </c>
      <c r="E127" s="273">
        <f t="shared" si="7"/>
        <v>0</v>
      </c>
    </row>
    <row r="128" spans="1:5" ht="33" customHeight="1">
      <c r="A128" s="292" t="s">
        <v>206</v>
      </c>
      <c r="B128" s="275">
        <f>SUM(B129:B131)</f>
        <v>512437.2</v>
      </c>
      <c r="C128" s="275">
        <f>SUM(C129:C131)</f>
        <v>397138.64999999997</v>
      </c>
      <c r="D128" s="272">
        <f t="shared" si="8"/>
        <v>77.49996487374452</v>
      </c>
      <c r="E128" s="273">
        <f>C128-B128</f>
        <v>-115298.55000000005</v>
      </c>
    </row>
    <row r="129" spans="1:5" ht="50.25" customHeight="1">
      <c r="A129" s="292" t="s">
        <v>187</v>
      </c>
      <c r="B129" s="275">
        <f>Лист1!B104+Лист9!B86</f>
        <v>307462.32</v>
      </c>
      <c r="C129" s="275">
        <f>Лист1!C104+Лист9!C86</f>
        <v>238283.19</v>
      </c>
      <c r="D129" s="272">
        <f t="shared" si="8"/>
        <v>77.49996487374453</v>
      </c>
      <c r="E129" s="273">
        <f>C129-B129</f>
        <v>-69179.13</v>
      </c>
    </row>
    <row r="130" spans="1:5" ht="44.25" customHeight="1">
      <c r="A130" s="292" t="s">
        <v>200</v>
      </c>
      <c r="B130" s="275">
        <f>Лист1!B105+Лист9!B87</f>
        <v>102487.44</v>
      </c>
      <c r="C130" s="275">
        <f>Лист1!C105+Лист9!C87</f>
        <v>79427.73</v>
      </c>
      <c r="D130" s="272">
        <f t="shared" si="8"/>
        <v>77.49996487374452</v>
      </c>
      <c r="E130" s="273">
        <f>C130-B130</f>
        <v>-23059.710000000006</v>
      </c>
    </row>
    <row r="131" spans="1:5" ht="48" customHeight="1">
      <c r="A131" s="292" t="s">
        <v>212</v>
      </c>
      <c r="B131" s="275">
        <f>Лист1!B106+Лист9!B88</f>
        <v>102487.44</v>
      </c>
      <c r="C131" s="275">
        <f>Лист1!C106+Лист9!C88</f>
        <v>79427.73</v>
      </c>
      <c r="D131" s="272">
        <f t="shared" si="8"/>
        <v>77.49996487374452</v>
      </c>
      <c r="E131" s="273">
        <f>C131-B131</f>
        <v>-23059.710000000006</v>
      </c>
    </row>
    <row r="132" spans="1:5" ht="15">
      <c r="A132" s="274" t="s">
        <v>72</v>
      </c>
      <c r="B132" s="275">
        <f>B133+B137+B138+B139+B154+B145+B134+B136+B141+B150+B140+B135</f>
        <v>69201640.72</v>
      </c>
      <c r="C132" s="275">
        <f>C133+C137+C138+C139+C154+C145+C134+C136+C141+C150+C140+C135</f>
        <v>21630980.89</v>
      </c>
      <c r="D132" s="272">
        <f t="shared" si="8"/>
        <v>31.257901785193397</v>
      </c>
      <c r="E132" s="273">
        <f t="shared" si="7"/>
        <v>-47570659.83</v>
      </c>
    </row>
    <row r="133" spans="1:5" ht="15">
      <c r="A133" s="274" t="s">
        <v>60</v>
      </c>
      <c r="B133" s="275">
        <f>Лист1!B109+Лист2!B90+Лист3!B79+Лист4!B77+Лист5!B83+Лист6!B86+Лист7!B109+Лист8!B84+Лист9!B90+Лист10!B78</f>
        <v>6111370</v>
      </c>
      <c r="C133" s="275">
        <f>Лист1!C109+Лист2!C90+Лист3!C79+Лист4!C77+Лист5!C83+Лист6!C86+Лист7!C109+Лист8!C84+Лист9!C90+Лист10!C78</f>
        <v>4563078.48</v>
      </c>
      <c r="D133" s="272">
        <f t="shared" si="8"/>
        <v>74.66539384786064</v>
      </c>
      <c r="E133" s="273">
        <f t="shared" si="7"/>
        <v>-1548291.5199999996</v>
      </c>
    </row>
    <row r="134" spans="1:5" ht="27" customHeight="1">
      <c r="A134" s="274" t="s">
        <v>218</v>
      </c>
      <c r="B134" s="275">
        <f>Лист7!B110</f>
        <v>6000</v>
      </c>
      <c r="C134" s="275">
        <f>Лист7!C110</f>
        <v>0</v>
      </c>
      <c r="D134" s="272">
        <f t="shared" si="8"/>
        <v>0</v>
      </c>
      <c r="E134" s="273">
        <f>C134-B134</f>
        <v>-6000</v>
      </c>
    </row>
    <row r="135" spans="1:5" ht="27" customHeight="1">
      <c r="A135" s="105" t="s">
        <v>303</v>
      </c>
      <c r="B135" s="275">
        <f>Лист7!B115</f>
        <v>280000</v>
      </c>
      <c r="C135" s="275">
        <f>Лист7!C115</f>
        <v>0</v>
      </c>
      <c r="D135" s="272">
        <f>IF(B135=0,"   ",C135/B135*100)</f>
        <v>0</v>
      </c>
      <c r="E135" s="273">
        <f>C135-B135</f>
        <v>-280000</v>
      </c>
    </row>
    <row r="136" spans="1:5" ht="35.25" customHeight="1">
      <c r="A136" s="292" t="s">
        <v>250</v>
      </c>
      <c r="B136" s="275">
        <f>Лист7!B124</f>
        <v>1600000</v>
      </c>
      <c r="C136" s="275">
        <f>Лист7!C124</f>
        <v>841200</v>
      </c>
      <c r="D136" s="272">
        <f t="shared" si="8"/>
        <v>52.575</v>
      </c>
      <c r="E136" s="273">
        <f>C136-B136</f>
        <v>-758800</v>
      </c>
    </row>
    <row r="137" spans="1:5" ht="15">
      <c r="A137" s="274" t="s">
        <v>73</v>
      </c>
      <c r="B137" s="275">
        <f>Лист7!B111</f>
        <v>263000</v>
      </c>
      <c r="C137" s="275">
        <f>Лист7!C111</f>
        <v>247900</v>
      </c>
      <c r="D137" s="272">
        <f t="shared" si="8"/>
        <v>94.25855513307985</v>
      </c>
      <c r="E137" s="273">
        <f t="shared" si="7"/>
        <v>-15100</v>
      </c>
    </row>
    <row r="138" spans="1:5" ht="15">
      <c r="A138" s="274" t="s">
        <v>74</v>
      </c>
      <c r="B138" s="275">
        <f>Лист7!B112</f>
        <v>100000</v>
      </c>
      <c r="C138" s="275">
        <f>Лист7!C112</f>
        <v>29028</v>
      </c>
      <c r="D138" s="272">
        <f t="shared" si="8"/>
        <v>29.028</v>
      </c>
      <c r="E138" s="273">
        <f t="shared" si="7"/>
        <v>-70972</v>
      </c>
    </row>
    <row r="139" spans="1:5" ht="15">
      <c r="A139" s="274" t="s">
        <v>75</v>
      </c>
      <c r="B139" s="275">
        <f>Лист1!B111+Лист3!B80+Лист4!B78+Лист5!B84+Лист7!B113+Лист8!B86+Лист9!B91+Лист10!B80+Лист6!B87+Лист2!B100</f>
        <v>1631712.5</v>
      </c>
      <c r="C139" s="275">
        <f>Лист1!C111+Лист3!C80+Лист4!C78+Лист5!C84+Лист7!C113+Лист8!C86+Лист9!C91+Лист10!C80+Лист6!C87+Лист2!C100</f>
        <v>1457483.67</v>
      </c>
      <c r="D139" s="272">
        <f t="shared" si="8"/>
        <v>89.322332825176</v>
      </c>
      <c r="E139" s="273">
        <f t="shared" si="7"/>
        <v>-174228.83000000007</v>
      </c>
    </row>
    <row r="140" spans="1:5" ht="27">
      <c r="A140" s="105" t="s">
        <v>302</v>
      </c>
      <c r="B140" s="275">
        <f>Лист1!B112+Лист3!B86+Лист4!B83+Лист5!B90+Лист7!B114+Лист8!B85+Лист9!B92+Лист10!B79+Лист6!B92+Лист2!B101</f>
        <v>8100000</v>
      </c>
      <c r="C140" s="275">
        <f>Лист1!C112+Лист3!C86+Лист4!C83+Лист5!C90+Лист7!C114+Лист8!C85+Лист9!C92+Лист10!C79+Лист6!C92+Лист2!C101</f>
        <v>200000</v>
      </c>
      <c r="D140" s="272">
        <f>IF(B140=0,"   ",C140/B140*100)</f>
        <v>2.4691358024691357</v>
      </c>
      <c r="E140" s="273">
        <f>C140-B140</f>
        <v>-7900000</v>
      </c>
    </row>
    <row r="141" spans="1:5" ht="30.75">
      <c r="A141" s="292" t="s">
        <v>206</v>
      </c>
      <c r="B141" s="275">
        <f>SUM(B142:B144)</f>
        <v>2685730.88</v>
      </c>
      <c r="C141" s="275">
        <f>SUM(C142:C144)</f>
        <v>1711165.08</v>
      </c>
      <c r="D141" s="272">
        <f>IF(B141=0,"   ",C141/B141*100)</f>
        <v>63.71319973801695</v>
      </c>
      <c r="E141" s="273">
        <f aca="true" t="shared" si="9" ref="E141:E146">C141-B141</f>
        <v>-974565.7999999998</v>
      </c>
    </row>
    <row r="142" spans="1:5" ht="46.5">
      <c r="A142" s="292" t="s">
        <v>213</v>
      </c>
      <c r="B142" s="275">
        <f>Лист1!B114+Лист2!B92+Лист4!B80+Лист6!B89+Лист9!B94+Лист10!B82+Лист5!B87+Лист7!B121</f>
        <v>1837419.9000000001</v>
      </c>
      <c r="C142" s="275">
        <f>Лист1!C114+Лист2!C92+Лист4!C80+Лист6!C89+Лист9!C94+Лист10!C82+Лист5!C87+Лист7!C121</f>
        <v>1026690.88</v>
      </c>
      <c r="D142" s="272">
        <f>IF(B142=0,"   ",C142/B142*100)</f>
        <v>55.8767693764501</v>
      </c>
      <c r="E142" s="273">
        <f t="shared" si="9"/>
        <v>-810729.0200000001</v>
      </c>
    </row>
    <row r="143" spans="1:5" ht="46.5">
      <c r="A143" s="292" t="s">
        <v>214</v>
      </c>
      <c r="B143" s="275">
        <f>Лист1!B115+Лист2!B93+Лист4!B81+Лист6!B90+Лист9!B95+Лист10!B83+Лист5!B88+Лист7!B122</f>
        <v>593280.19</v>
      </c>
      <c r="C143" s="275">
        <f>Лист1!C115+Лист2!C93+Лист4!C81+Лист6!C90+Лист9!C95+Лист10!C83+Лист5!C88+Лист7!C122</f>
        <v>485015.58999999997</v>
      </c>
      <c r="D143" s="272">
        <f>IF(B143=0,"   ",C143/B143*100)</f>
        <v>81.75152283443006</v>
      </c>
      <c r="E143" s="273">
        <f t="shared" si="9"/>
        <v>-108264.59999999998</v>
      </c>
    </row>
    <row r="144" spans="1:5" ht="46.5">
      <c r="A144" s="292" t="s">
        <v>215</v>
      </c>
      <c r="B144" s="275">
        <f>Лист1!B116+Лист2!B94+Лист4!B82+Лист6!B91+Лист9!B96+Лист10!B84+Лист5!B89+Лист7!B123</f>
        <v>255030.79</v>
      </c>
      <c r="C144" s="275">
        <f>Лист1!C116+Лист2!C94+Лист4!C82+Лист6!C91+Лист9!C96+Лист10!C84+Лист5!C89+Лист7!C123</f>
        <v>199458.61</v>
      </c>
      <c r="D144" s="272">
        <f>IF(B144=0,"   ",C144/B144*100)</f>
        <v>78.209619316946</v>
      </c>
      <c r="E144" s="273">
        <f t="shared" si="9"/>
        <v>-55572.18000000002</v>
      </c>
    </row>
    <row r="145" spans="1:5" ht="15">
      <c r="A145" s="292" t="s">
        <v>274</v>
      </c>
      <c r="B145" s="275">
        <f>SUM(B146:B149)</f>
        <v>520700</v>
      </c>
      <c r="C145" s="275">
        <f>SUM(C146:C149)</f>
        <v>520700</v>
      </c>
      <c r="D145" s="272">
        <f t="shared" si="8"/>
        <v>100</v>
      </c>
      <c r="E145" s="273">
        <f t="shared" si="9"/>
        <v>0</v>
      </c>
    </row>
    <row r="146" spans="1:5" ht="15">
      <c r="A146" s="292" t="s">
        <v>275</v>
      </c>
      <c r="B146" s="275">
        <f>Лист2!B96+Лист9!B98</f>
        <v>360889.06</v>
      </c>
      <c r="C146" s="275">
        <f>Лист2!C96+Лист9!C98</f>
        <v>360889.06</v>
      </c>
      <c r="D146" s="272">
        <f t="shared" si="8"/>
        <v>100</v>
      </c>
      <c r="E146" s="273">
        <f t="shared" si="9"/>
        <v>0</v>
      </c>
    </row>
    <row r="147" spans="1:5" ht="15">
      <c r="A147" s="292" t="s">
        <v>276</v>
      </c>
      <c r="B147" s="275">
        <f>Лист2!B97+Лист9!B99</f>
        <v>3645.34</v>
      </c>
      <c r="C147" s="275">
        <f>Лист2!C97+Лист9!C99</f>
        <v>3645.34</v>
      </c>
      <c r="D147" s="272">
        <f t="shared" si="8"/>
        <v>100</v>
      </c>
      <c r="E147" s="273">
        <f t="shared" si="7"/>
        <v>0</v>
      </c>
    </row>
    <row r="148" spans="1:5" ht="15">
      <c r="A148" s="292" t="s">
        <v>277</v>
      </c>
      <c r="B148" s="275">
        <f>Лист2!B98+Лист9!B100</f>
        <v>78116.05</v>
      </c>
      <c r="C148" s="275">
        <f>Лист2!C98+Лист9!C100</f>
        <v>78116.05</v>
      </c>
      <c r="D148" s="272">
        <f t="shared" si="8"/>
        <v>100</v>
      </c>
      <c r="E148" s="273">
        <f t="shared" si="7"/>
        <v>0</v>
      </c>
    </row>
    <row r="149" spans="1:5" ht="15">
      <c r="A149" s="292" t="s">
        <v>278</v>
      </c>
      <c r="B149" s="275">
        <f>Лист2!B99+Лист9!B101</f>
        <v>78049.54999999999</v>
      </c>
      <c r="C149" s="275">
        <f>Лист2!C99+Лист9!C101</f>
        <v>78049.54999999999</v>
      </c>
      <c r="D149" s="272">
        <f t="shared" si="8"/>
        <v>100</v>
      </c>
      <c r="E149" s="273">
        <f t="shared" si="7"/>
        <v>0</v>
      </c>
    </row>
    <row r="150" spans="1:5" ht="27">
      <c r="A150" s="105" t="s">
        <v>289</v>
      </c>
      <c r="B150" s="271">
        <f>B151+B153+B152</f>
        <v>41689681.440000005</v>
      </c>
      <c r="C150" s="271">
        <f>C151+C153+C152</f>
        <v>5878052.86</v>
      </c>
      <c r="D150" s="272">
        <f>IF(B150=0,"   ",C150/B150*100)</f>
        <v>14.099538919383981</v>
      </c>
      <c r="E150" s="273">
        <f>C150-B150</f>
        <v>-35811628.580000006</v>
      </c>
    </row>
    <row r="151" spans="1:5" ht="27">
      <c r="A151" s="105" t="s">
        <v>273</v>
      </c>
      <c r="B151" s="271">
        <f>Лист7!B126</f>
        <v>39181634.7</v>
      </c>
      <c r="C151" s="271">
        <f>Лист7!C126</f>
        <v>5476989</v>
      </c>
      <c r="D151" s="272">
        <f>IF(B151=0,"   ",C151/B151*100)</f>
        <v>13.978459658294963</v>
      </c>
      <c r="E151" s="273">
        <f>C151-B151</f>
        <v>-33704645.7</v>
      </c>
    </row>
    <row r="152" spans="1:5" ht="27">
      <c r="A152" s="105" t="s">
        <v>290</v>
      </c>
      <c r="B152" s="271">
        <f>Лист7!B127</f>
        <v>2090039.29</v>
      </c>
      <c r="C152" s="271">
        <f>Лист7!C127</f>
        <v>334219.88</v>
      </c>
      <c r="D152" s="272">
        <f>IF(B152=0,"   ",C152/B152*100)</f>
        <v>15.991081201157705</v>
      </c>
      <c r="E152" s="273">
        <f>C152-B152</f>
        <v>-1755819.4100000001</v>
      </c>
    </row>
    <row r="153" spans="1:5" ht="27">
      <c r="A153" s="105" t="s">
        <v>291</v>
      </c>
      <c r="B153" s="271">
        <f>Лист7!B128</f>
        <v>418007.45</v>
      </c>
      <c r="C153" s="271">
        <f>Лист7!C128</f>
        <v>66843.98</v>
      </c>
      <c r="D153" s="272">
        <f>IF(B153=0,"   ",C153/B153*100)</f>
        <v>15.991097766319715</v>
      </c>
      <c r="E153" s="273">
        <f>C153-B153</f>
        <v>-351163.47000000003</v>
      </c>
    </row>
    <row r="154" spans="1:5" ht="33.75" customHeight="1">
      <c r="A154" s="292" t="s">
        <v>182</v>
      </c>
      <c r="B154" s="271">
        <f>B155+B157+B156</f>
        <v>6213445.9</v>
      </c>
      <c r="C154" s="271">
        <f>C155+C157+C156</f>
        <v>6182372.8</v>
      </c>
      <c r="D154" s="283">
        <f>IF(B154=0,"   ",C154/B154)</f>
        <v>0.9949990551941555</v>
      </c>
      <c r="E154" s="284">
        <f t="shared" si="7"/>
        <v>-31073.10000000056</v>
      </c>
    </row>
    <row r="155" spans="1:5" ht="15">
      <c r="A155" s="292" t="s">
        <v>180</v>
      </c>
      <c r="B155" s="271">
        <f>Лист7!B117</f>
        <v>6151311.44</v>
      </c>
      <c r="C155" s="271">
        <f>Лист7!C117</f>
        <v>6120549.05</v>
      </c>
      <c r="D155" s="283">
        <f>IF(B155=0,"   ",C155/B155)</f>
        <v>0.9949990517794364</v>
      </c>
      <c r="E155" s="284">
        <f t="shared" si="7"/>
        <v>-30762.390000000596</v>
      </c>
    </row>
    <row r="156" spans="1:5" ht="15">
      <c r="A156" s="292" t="s">
        <v>181</v>
      </c>
      <c r="B156" s="271">
        <f>Лист7!B118</f>
        <v>43494.12</v>
      </c>
      <c r="C156" s="271">
        <f>Лист7!C118</f>
        <v>43276.62</v>
      </c>
      <c r="D156" s="283">
        <f>IF(B156=0,"   ",C156/B156)</f>
        <v>0.9949993240465608</v>
      </c>
      <c r="E156" s="284">
        <f t="shared" si="7"/>
        <v>-217.5</v>
      </c>
    </row>
    <row r="157" spans="1:5" ht="15">
      <c r="A157" s="292" t="s">
        <v>194</v>
      </c>
      <c r="B157" s="271">
        <f>Лист7!B119</f>
        <v>18640.34</v>
      </c>
      <c r="C157" s="271">
        <f>Лист7!C119</f>
        <v>18547.13</v>
      </c>
      <c r="D157" s="283">
        <f>IF(B157=0,"   ",C157/B157)</f>
        <v>0.994999554729152</v>
      </c>
      <c r="E157" s="284">
        <f t="shared" si="7"/>
        <v>-93.20999999999913</v>
      </c>
    </row>
    <row r="158" spans="1:5" ht="15">
      <c r="A158" s="274" t="s">
        <v>17</v>
      </c>
      <c r="B158" s="275">
        <f>Лист1!B117+Лист2!B102+Лист3!B87+Лист4!B84+Лист5!B91+Лист6!B93+Лист7!B129+Лист8!B92+Лист9!B102+Лист10!B85</f>
        <v>64000</v>
      </c>
      <c r="C158" s="275">
        <f>Лист1!C117+Лист2!C102+Лист3!C87+Лист4!C84+Лист5!C91+Лист6!C93+Лист7!C129+Лист8!C92+Лист9!C102+Лист10!C85</f>
        <v>24000</v>
      </c>
      <c r="D158" s="272">
        <f aca="true" t="shared" si="10" ref="D158:D166">IF(B158=0,"   ",C158/B158*100)</f>
        <v>37.5</v>
      </c>
      <c r="E158" s="273">
        <f t="shared" si="7"/>
        <v>-40000</v>
      </c>
    </row>
    <row r="159" spans="1:5" ht="30.75">
      <c r="A159" s="274" t="s">
        <v>41</v>
      </c>
      <c r="B159" s="271">
        <f>SUM(B160,)</f>
        <v>20815116.78</v>
      </c>
      <c r="C159" s="271">
        <f>C160</f>
        <v>8829248.92</v>
      </c>
      <c r="D159" s="272">
        <f t="shared" si="10"/>
        <v>42.417484433637654</v>
      </c>
      <c r="E159" s="273">
        <f t="shared" si="7"/>
        <v>-11985867.860000001</v>
      </c>
    </row>
    <row r="160" spans="1:5" ht="15">
      <c r="A160" s="274" t="s">
        <v>42</v>
      </c>
      <c r="B160" s="275">
        <f>Лист1!B119+Лист2!B104+Лист3!B89+Лист4!B86+Лист5!B93+Лист6!B95+Лист7!B131+Лист8!B94+Лист9!B104+Лист10!B87</f>
        <v>20815116.78</v>
      </c>
      <c r="C160" s="275">
        <f>Лист1!C119+Лист2!C104+Лист3!C89+Лист4!C86+Лист5!C93+Лист6!C95+Лист7!C131+Лист8!C94+Лист9!C104+Лист10!C87</f>
        <v>8829248.92</v>
      </c>
      <c r="D160" s="272">
        <f t="shared" si="10"/>
        <v>42.417484433637654</v>
      </c>
      <c r="E160" s="273">
        <f t="shared" si="7"/>
        <v>-11985867.860000001</v>
      </c>
    </row>
    <row r="161" spans="1:5" ht="32.25" customHeight="1">
      <c r="A161" s="274" t="s">
        <v>143</v>
      </c>
      <c r="B161" s="275">
        <f>Лист1!B119+Лист2!B105+Лист3!B90+Лист4!B86+Лист5!B93+Лист6!B96+Лист7!B132+Лист8!B94+Лист9!B104+Лист10!B87</f>
        <v>10711040</v>
      </c>
      <c r="C161" s="275">
        <f>Лист1!C119+Лист2!C105+Лист3!C90+Лист4!C86+Лист5!C93+Лист6!C96+Лист7!C132+Лист8!C94+Лист9!C104+Лист10!C87</f>
        <v>5819685.76</v>
      </c>
      <c r="D161" s="272">
        <f t="shared" si="10"/>
        <v>54.333526529636714</v>
      </c>
      <c r="E161" s="273">
        <f t="shared" si="7"/>
        <v>-4891354.24</v>
      </c>
    </row>
    <row r="162" spans="1:5" ht="16.5" customHeight="1">
      <c r="A162" s="274" t="s">
        <v>263</v>
      </c>
      <c r="B162" s="275">
        <f>Лист2!B107</f>
        <v>100000</v>
      </c>
      <c r="C162" s="275">
        <f>Лист2!C107</f>
        <v>43062.69</v>
      </c>
      <c r="D162" s="272">
        <f t="shared" si="10"/>
        <v>43.06269</v>
      </c>
      <c r="E162" s="273">
        <f>C162-B162</f>
        <v>-56937.31</v>
      </c>
    </row>
    <row r="163" spans="1:5" ht="25.5" customHeight="1">
      <c r="A163" s="274" t="s">
        <v>203</v>
      </c>
      <c r="B163" s="275">
        <f>Лист3!B92+Лист6!B97+Лист2!B106</f>
        <v>393500</v>
      </c>
      <c r="C163" s="275">
        <f>Лист3!C92+Лист6!C97+Лист2!C106</f>
        <v>55696.6</v>
      </c>
      <c r="D163" s="272">
        <f t="shared" si="10"/>
        <v>14.154155019059719</v>
      </c>
      <c r="E163" s="273">
        <f t="shared" si="7"/>
        <v>-337803.4</v>
      </c>
    </row>
    <row r="164" spans="1:5" ht="25.5" customHeight="1">
      <c r="A164" s="16" t="s">
        <v>294</v>
      </c>
      <c r="B164" s="275">
        <f>Лист7!B135</f>
        <v>938800</v>
      </c>
      <c r="C164" s="275">
        <f>Лист7!C135</f>
        <v>799300</v>
      </c>
      <c r="D164" s="272">
        <f>IF(B164=0,"   ",C164/B164*100)</f>
        <v>85.14060502769493</v>
      </c>
      <c r="E164" s="273">
        <f>C164-B164</f>
        <v>-139500</v>
      </c>
    </row>
    <row r="165" spans="1:5" ht="21.75" customHeight="1">
      <c r="A165" s="274" t="s">
        <v>193</v>
      </c>
      <c r="B165" s="275">
        <f>Лист7!B133</f>
        <v>1238800</v>
      </c>
      <c r="C165" s="275">
        <f>Лист7!C133</f>
        <v>0</v>
      </c>
      <c r="D165" s="272">
        <f t="shared" si="10"/>
        <v>0</v>
      </c>
      <c r="E165" s="273">
        <f t="shared" si="7"/>
        <v>-1238800</v>
      </c>
    </row>
    <row r="166" spans="1:5" ht="25.5" customHeight="1">
      <c r="A166" s="274" t="s">
        <v>144</v>
      </c>
      <c r="B166" s="275">
        <f>Лист7!B134</f>
        <v>1349988.39</v>
      </c>
      <c r="C166" s="275">
        <f>Лист7!C134</f>
        <v>781807.44</v>
      </c>
      <c r="D166" s="272">
        <f t="shared" si="10"/>
        <v>57.91216026680052</v>
      </c>
      <c r="E166" s="273">
        <f t="shared" si="7"/>
        <v>-568180.95</v>
      </c>
    </row>
    <row r="167" spans="1:5" ht="30.75" customHeight="1">
      <c r="A167" s="274" t="s">
        <v>267</v>
      </c>
      <c r="B167" s="275">
        <f>Лист7!B136</f>
        <v>6082988.39</v>
      </c>
      <c r="C167" s="275">
        <f>Лист7!C136</f>
        <v>1329696.43</v>
      </c>
      <c r="D167" s="272">
        <f aca="true" t="shared" si="11" ref="D167:D172">IF(B167=0,"   ",C167/B167*100)</f>
        <v>21.85926299293825</v>
      </c>
      <c r="E167" s="273">
        <f aca="true" t="shared" si="12" ref="E167:E180">C167-B167</f>
        <v>-4753291.96</v>
      </c>
    </row>
    <row r="168" spans="1:5" ht="25.5" customHeight="1">
      <c r="A168" s="292" t="s">
        <v>180</v>
      </c>
      <c r="B168" s="275">
        <f>Лист7!B137</f>
        <v>4340232.21</v>
      </c>
      <c r="C168" s="275">
        <f>Лист7!C137</f>
        <v>948742.77</v>
      </c>
      <c r="D168" s="272">
        <f t="shared" si="11"/>
        <v>21.859262917179265</v>
      </c>
      <c r="E168" s="273">
        <f t="shared" si="12"/>
        <v>-3391489.44</v>
      </c>
    </row>
    <row r="169" spans="1:5" ht="25.5" customHeight="1">
      <c r="A169" s="292" t="s">
        <v>181</v>
      </c>
      <c r="B169" s="275">
        <f>Лист7!B138</f>
        <v>1659767.79</v>
      </c>
      <c r="C169" s="275">
        <f>Лист7!C138</f>
        <v>362813.01</v>
      </c>
      <c r="D169" s="272">
        <f t="shared" si="11"/>
        <v>21.859263216573204</v>
      </c>
      <c r="E169" s="273">
        <f t="shared" si="12"/>
        <v>-1296954.78</v>
      </c>
    </row>
    <row r="170" spans="1:5" ht="30.75" customHeight="1">
      <c r="A170" s="292" t="s">
        <v>192</v>
      </c>
      <c r="B170" s="275">
        <f>Лист7!B139</f>
        <v>82988.39</v>
      </c>
      <c r="C170" s="275">
        <f>Лист7!C139</f>
        <v>18140.65</v>
      </c>
      <c r="D170" s="272">
        <f t="shared" si="11"/>
        <v>21.85926248237856</v>
      </c>
      <c r="E170" s="273">
        <f t="shared" si="12"/>
        <v>-64847.74</v>
      </c>
    </row>
    <row r="171" spans="1:5" ht="21.75" customHeight="1">
      <c r="A171" s="274" t="s">
        <v>233</v>
      </c>
      <c r="B171" s="275">
        <f>SUM(B172,)</f>
        <v>6000</v>
      </c>
      <c r="C171" s="275">
        <f>SUM(C172,)</f>
        <v>1219.77</v>
      </c>
      <c r="D171" s="272">
        <f t="shared" si="11"/>
        <v>20.3295</v>
      </c>
      <c r="E171" s="273">
        <f t="shared" si="12"/>
        <v>-4780.23</v>
      </c>
    </row>
    <row r="172" spans="1:5" ht="30.75" customHeight="1">
      <c r="A172" s="274" t="s">
        <v>234</v>
      </c>
      <c r="B172" s="275">
        <f>Лист10!B89</f>
        <v>6000</v>
      </c>
      <c r="C172" s="275">
        <f>Лист10!C89</f>
        <v>1219.77</v>
      </c>
      <c r="D172" s="272">
        <f t="shared" si="11"/>
        <v>20.3295</v>
      </c>
      <c r="E172" s="273">
        <f t="shared" si="12"/>
        <v>-4780.23</v>
      </c>
    </row>
    <row r="173" spans="1:5" ht="20.25" customHeight="1">
      <c r="A173" s="274" t="s">
        <v>124</v>
      </c>
      <c r="B173" s="275">
        <f>SUM(B174+B175)</f>
        <v>1430899.9999999998</v>
      </c>
      <c r="C173" s="275">
        <f>SUM(C174+C175)</f>
        <v>1333479.9999999998</v>
      </c>
      <c r="D173" s="272">
        <f aca="true" t="shared" si="13" ref="D173:D180">IF(B173=0,"   ",C173/B173*100)</f>
        <v>93.19169753302118</v>
      </c>
      <c r="E173" s="273">
        <f t="shared" si="12"/>
        <v>-97420</v>
      </c>
    </row>
    <row r="174" spans="1:5" ht="33.75" customHeight="1">
      <c r="A174" s="274" t="s">
        <v>295</v>
      </c>
      <c r="B174" s="275">
        <f>Лист1!B121+Лист2!B109+Лист3!B94+Лист4!B88+Лист5!B95+Лист6!B99+Лист7!B141+Лист8!B96+Лист9!B106+Лист10!B91</f>
        <v>138000</v>
      </c>
      <c r="C174" s="275">
        <f>Лист1!C121+Лист2!C109+Лист3!C94+Лист4!C88+Лист5!C95+Лист6!C99+Лист7!C141+Лист8!C96+Лист9!C106+Лист10!C91</f>
        <v>40580</v>
      </c>
      <c r="D174" s="272">
        <f t="shared" si="13"/>
        <v>29.405797101449277</v>
      </c>
      <c r="E174" s="273">
        <f t="shared" si="12"/>
        <v>-97420</v>
      </c>
    </row>
    <row r="175" spans="1:5" ht="24" customHeight="1">
      <c r="A175" s="292" t="s">
        <v>274</v>
      </c>
      <c r="B175" s="275">
        <f>SUM(B176:B179)</f>
        <v>1292899.9999999998</v>
      </c>
      <c r="C175" s="275">
        <f>SUM(C176:C179)</f>
        <v>1292899.9999999998</v>
      </c>
      <c r="D175" s="272">
        <f>IF(B175=0,"   ",C175/B175*100)</f>
        <v>100</v>
      </c>
      <c r="E175" s="273">
        <f t="shared" si="12"/>
        <v>0</v>
      </c>
    </row>
    <row r="176" spans="1:5" ht="24" customHeight="1">
      <c r="A176" s="292" t="s">
        <v>275</v>
      </c>
      <c r="B176" s="275">
        <f>Лист4!B90</f>
        <v>895910.94</v>
      </c>
      <c r="C176" s="275">
        <f>Лист4!C90</f>
        <v>895910.94</v>
      </c>
      <c r="D176" s="272">
        <f t="shared" si="13"/>
        <v>100</v>
      </c>
      <c r="E176" s="273">
        <f t="shared" si="12"/>
        <v>0</v>
      </c>
    </row>
    <row r="177" spans="1:5" ht="22.5" customHeight="1">
      <c r="A177" s="292" t="s">
        <v>276</v>
      </c>
      <c r="B177" s="275">
        <f>Лист4!B91</f>
        <v>9049.6</v>
      </c>
      <c r="C177" s="275">
        <f>Лист4!C91</f>
        <v>9049.6</v>
      </c>
      <c r="D177" s="272">
        <f t="shared" si="13"/>
        <v>100</v>
      </c>
      <c r="E177" s="273">
        <f t="shared" si="12"/>
        <v>0</v>
      </c>
    </row>
    <row r="178" spans="1:5" ht="22.5" customHeight="1">
      <c r="A178" s="292" t="s">
        <v>278</v>
      </c>
      <c r="B178" s="275">
        <f>Лист4!B93</f>
        <v>194015.51</v>
      </c>
      <c r="C178" s="275">
        <f>Лист4!C93</f>
        <v>194015.51</v>
      </c>
      <c r="D178" s="272">
        <f>IF(B178=0,"   ",C178/B178*100)</f>
        <v>100</v>
      </c>
      <c r="E178" s="273">
        <f>C178-B178</f>
        <v>0</v>
      </c>
    </row>
    <row r="179" spans="1:5" ht="24" customHeight="1">
      <c r="A179" s="292" t="s">
        <v>277</v>
      </c>
      <c r="B179" s="275">
        <f>Лист4!B92</f>
        <v>193923.95</v>
      </c>
      <c r="C179" s="275">
        <f>Лист4!C92</f>
        <v>193923.95</v>
      </c>
      <c r="D179" s="272">
        <f t="shared" si="13"/>
        <v>100</v>
      </c>
      <c r="E179" s="273">
        <f t="shared" si="12"/>
        <v>0</v>
      </c>
    </row>
    <row r="180" spans="1:6" ht="25.5" customHeight="1">
      <c r="A180" s="277" t="s">
        <v>15</v>
      </c>
      <c r="B180" s="278">
        <f>B73+B84+B86+B91+B117+B158+B159+B171+B173</f>
        <v>151689901.39</v>
      </c>
      <c r="C180" s="278">
        <f>C73+C84+C86+C91+C117+C158+C159+C171+C173</f>
        <v>60894577.95</v>
      </c>
      <c r="D180" s="279">
        <f t="shared" si="13"/>
        <v>40.14412125790624</v>
      </c>
      <c r="E180" s="280">
        <f t="shared" si="12"/>
        <v>-90795323.43999998</v>
      </c>
      <c r="F180" s="192"/>
    </row>
    <row r="181" spans="1:5" s="59" customFormat="1" ht="23.25" customHeight="1">
      <c r="A181" s="300" t="s">
        <v>283</v>
      </c>
      <c r="B181" s="301">
        <f>(B70-B180)</f>
        <v>-2581788.5099999905</v>
      </c>
      <c r="C181" s="301">
        <f>(C70-C180)</f>
        <v>3845046.9299999923</v>
      </c>
      <c r="D181" s="268"/>
      <c r="E181" s="268"/>
    </row>
    <row r="182" spans="1:5" s="59" customFormat="1" ht="21" customHeight="1">
      <c r="A182" s="300" t="s">
        <v>284</v>
      </c>
      <c r="B182" s="300"/>
      <c r="C182" s="302"/>
      <c r="D182" s="302"/>
      <c r="E182" s="302"/>
    </row>
    <row r="183" spans="1:5" ht="15">
      <c r="A183" s="300" t="s">
        <v>285</v>
      </c>
      <c r="B183" s="301">
        <f>SUM(B8+B44+B45+B50+B54)</f>
        <v>20637100</v>
      </c>
      <c r="C183" s="301">
        <f>SUM(C8+C44+C45+C50+C54)</f>
        <v>16863677.34</v>
      </c>
      <c r="D183" s="279">
        <f>IF(B183=0,"   ",C183/B183*100)</f>
        <v>81.71534440401025</v>
      </c>
      <c r="E183" s="280">
        <f>C183-B183</f>
        <v>-3773422.66</v>
      </c>
    </row>
    <row r="184" spans="1:5" ht="15">
      <c r="A184" s="300" t="s">
        <v>286</v>
      </c>
      <c r="B184" s="301">
        <f>SUM(B99)</f>
        <v>21725522.13</v>
      </c>
      <c r="C184" s="301">
        <f>SUM(C99)</f>
        <v>15306317.889999999</v>
      </c>
      <c r="D184" s="279">
        <f>IF(B184=0,"   ",C184/B184*100)</f>
        <v>70.45316470835952</v>
      </c>
      <c r="E184" s="280">
        <f>C184-B184</f>
        <v>-6419204.24</v>
      </c>
    </row>
    <row r="185" spans="1:5" ht="15">
      <c r="A185" s="300" t="s">
        <v>283</v>
      </c>
      <c r="B185" s="301">
        <f>(B183-B184)</f>
        <v>-1088422.129999999</v>
      </c>
      <c r="C185" s="301">
        <f>(C183-C184)</f>
        <v>1557359.4500000011</v>
      </c>
      <c r="D185" s="300"/>
      <c r="E185" s="303"/>
    </row>
    <row r="186" spans="1:5" ht="12.75">
      <c r="A186" s="147"/>
      <c r="B186" s="147"/>
      <c r="C186" s="298"/>
      <c r="D186" s="147"/>
      <c r="E186" s="299"/>
    </row>
  </sheetData>
  <sheetProtection/>
  <mergeCells count="1">
    <mergeCell ref="A1:E1"/>
  </mergeCells>
  <printOptions/>
  <pageMargins left="0.7874015748031497" right="0.7874015748031497" top="0.4724409448818898" bottom="0.31496062992125984" header="0.4724409448818898" footer="0.31496062992125984"/>
  <pageSetup fitToHeight="4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5"/>
  <sheetViews>
    <sheetView zoomScalePageLayoutView="0" workbookViewId="0" topLeftCell="A34">
      <selection activeCell="C41" sqref="C41"/>
    </sheetView>
  </sheetViews>
  <sheetFormatPr defaultColWidth="9.00390625" defaultRowHeight="12.75"/>
  <cols>
    <col min="1" max="1" width="112.125" style="0" customWidth="1"/>
    <col min="2" max="2" width="13.625" style="0" customWidth="1"/>
    <col min="3" max="3" width="16.875" style="0" customWidth="1"/>
    <col min="4" max="4" width="18.50390625" style="0" customWidth="1"/>
    <col min="5" max="5" width="16.00390625" style="0" customWidth="1"/>
  </cols>
  <sheetData>
    <row r="1" spans="1:5" ht="17.25">
      <c r="A1" s="311" t="s">
        <v>313</v>
      </c>
      <c r="B1" s="311"/>
      <c r="C1" s="311"/>
      <c r="D1" s="311"/>
      <c r="E1" s="311"/>
    </row>
    <row r="2" spans="1:5" ht="13.5" thickBot="1">
      <c r="A2" s="4"/>
      <c r="B2" s="4"/>
      <c r="C2" s="5"/>
      <c r="D2" s="4"/>
      <c r="E2" s="4" t="s">
        <v>0</v>
      </c>
    </row>
    <row r="3" spans="1:5" ht="60.75" customHeight="1">
      <c r="A3" s="34" t="s">
        <v>1</v>
      </c>
      <c r="B3" s="19" t="s">
        <v>251</v>
      </c>
      <c r="C3" s="32" t="s">
        <v>314</v>
      </c>
      <c r="D3" s="19" t="s">
        <v>255</v>
      </c>
      <c r="E3" s="36" t="s">
        <v>253</v>
      </c>
    </row>
    <row r="4" spans="1:5" ht="12.75">
      <c r="A4" s="13">
        <v>1</v>
      </c>
      <c r="B4" s="74">
        <v>2</v>
      </c>
      <c r="C4" s="33">
        <v>3</v>
      </c>
      <c r="D4" s="29">
        <v>4</v>
      </c>
      <c r="E4" s="14">
        <v>5</v>
      </c>
    </row>
    <row r="5" spans="1:5" ht="12.75">
      <c r="A5" s="22" t="s">
        <v>2</v>
      </c>
      <c r="B5" s="11"/>
      <c r="C5" s="12"/>
      <c r="D5" s="25"/>
      <c r="E5" s="15"/>
    </row>
    <row r="6" spans="1:5" ht="15.75" customHeight="1">
      <c r="A6" s="17" t="s">
        <v>45</v>
      </c>
      <c r="B6" s="217">
        <f>SUM(B7)</f>
        <v>65700</v>
      </c>
      <c r="C6" s="218">
        <f>SUM(C7)</f>
        <v>17693.56</v>
      </c>
      <c r="D6" s="26">
        <f aca="true" t="shared" si="0" ref="D6:D109">IF(B6=0,"   ",C6/B6*100)</f>
        <v>26.930837138508373</v>
      </c>
      <c r="E6" s="42">
        <f aca="true" t="shared" si="1" ref="E6:E109">C6-B6</f>
        <v>-48006.44</v>
      </c>
    </row>
    <row r="7" spans="1:5" ht="16.5" customHeight="1">
      <c r="A7" s="16" t="s">
        <v>44</v>
      </c>
      <c r="B7" s="219">
        <v>65700</v>
      </c>
      <c r="C7" s="239">
        <v>17693.56</v>
      </c>
      <c r="D7" s="26">
        <f t="shared" si="0"/>
        <v>26.930837138508373</v>
      </c>
      <c r="E7" s="42">
        <f t="shared" si="1"/>
        <v>-48006.44</v>
      </c>
    </row>
    <row r="8" spans="1:5" ht="12.75" customHeight="1">
      <c r="A8" s="64" t="s">
        <v>137</v>
      </c>
      <c r="B8" s="217">
        <f>SUM(B9)</f>
        <v>698900</v>
      </c>
      <c r="C8" s="220">
        <f>SUM(C9)</f>
        <v>552887.53</v>
      </c>
      <c r="D8" s="26">
        <f t="shared" si="0"/>
        <v>79.10824581485191</v>
      </c>
      <c r="E8" s="42">
        <f t="shared" si="1"/>
        <v>-146012.46999999997</v>
      </c>
    </row>
    <row r="9" spans="1:5" ht="18.75" customHeight="1">
      <c r="A9" s="41" t="s">
        <v>138</v>
      </c>
      <c r="B9" s="219">
        <v>698900</v>
      </c>
      <c r="C9" s="239">
        <v>552887.53</v>
      </c>
      <c r="D9" s="26">
        <f t="shared" si="0"/>
        <v>79.10824581485191</v>
      </c>
      <c r="E9" s="42">
        <f t="shared" si="1"/>
        <v>-146012.46999999997</v>
      </c>
    </row>
    <row r="10" spans="1:5" ht="16.5" customHeight="1">
      <c r="A10" s="16" t="s">
        <v>7</v>
      </c>
      <c r="B10" s="219">
        <f>SUM(B11:B11)</f>
        <v>93500</v>
      </c>
      <c r="C10" s="221">
        <f>SUM(C11:C11)</f>
        <v>107779.96</v>
      </c>
      <c r="D10" s="26">
        <f t="shared" si="0"/>
        <v>115.27268449197862</v>
      </c>
      <c r="E10" s="42">
        <f t="shared" si="1"/>
        <v>14279.960000000006</v>
      </c>
    </row>
    <row r="11" spans="1:5" ht="14.25" customHeight="1">
      <c r="A11" s="16" t="s">
        <v>26</v>
      </c>
      <c r="B11" s="219">
        <v>93500</v>
      </c>
      <c r="C11" s="239">
        <v>107779.96</v>
      </c>
      <c r="D11" s="26">
        <f t="shared" si="0"/>
        <v>115.27268449197862</v>
      </c>
      <c r="E11" s="42">
        <f t="shared" si="1"/>
        <v>14279.960000000006</v>
      </c>
    </row>
    <row r="12" spans="1:5" ht="14.25" customHeight="1">
      <c r="A12" s="16" t="s">
        <v>9</v>
      </c>
      <c r="B12" s="219">
        <f>SUM(B13:B14)</f>
        <v>126500</v>
      </c>
      <c r="C12" s="221">
        <f>SUM(C13:C14)</f>
        <v>81311.18000000001</v>
      </c>
      <c r="D12" s="26">
        <f t="shared" si="0"/>
        <v>64.27761264822135</v>
      </c>
      <c r="E12" s="42">
        <f t="shared" si="1"/>
        <v>-45188.81999999999</v>
      </c>
    </row>
    <row r="13" spans="1:5" ht="12.75" customHeight="1">
      <c r="A13" s="16" t="s">
        <v>27</v>
      </c>
      <c r="B13" s="219">
        <v>56000</v>
      </c>
      <c r="C13" s="239">
        <v>9211.1</v>
      </c>
      <c r="D13" s="26">
        <f t="shared" si="0"/>
        <v>16.448392857142856</v>
      </c>
      <c r="E13" s="42">
        <f t="shared" si="1"/>
        <v>-46788.9</v>
      </c>
    </row>
    <row r="14" spans="1:5" ht="12.75">
      <c r="A14" s="41" t="s">
        <v>160</v>
      </c>
      <c r="B14" s="204">
        <f>SUM(B15:B16)</f>
        <v>70500</v>
      </c>
      <c r="C14" s="221">
        <f>SUM(C15:C16)</f>
        <v>72100.08</v>
      </c>
      <c r="D14" s="26">
        <f t="shared" si="0"/>
        <v>102.26961702127659</v>
      </c>
      <c r="E14" s="42">
        <f t="shared" si="1"/>
        <v>1600.0800000000017</v>
      </c>
    </row>
    <row r="15" spans="1:5" ht="12.75">
      <c r="A15" s="41" t="s">
        <v>161</v>
      </c>
      <c r="B15" s="204">
        <v>5000</v>
      </c>
      <c r="C15" s="239">
        <v>3544.25</v>
      </c>
      <c r="D15" s="26">
        <f t="shared" si="0"/>
        <v>70.88499999999999</v>
      </c>
      <c r="E15" s="42">
        <f t="shared" si="1"/>
        <v>-1455.75</v>
      </c>
    </row>
    <row r="16" spans="1:5" ht="12.75">
      <c r="A16" s="41" t="s">
        <v>162</v>
      </c>
      <c r="B16" s="204">
        <v>65500</v>
      </c>
      <c r="C16" s="239">
        <v>68555.83</v>
      </c>
      <c r="D16" s="26">
        <f t="shared" si="0"/>
        <v>104.66538931297711</v>
      </c>
      <c r="E16" s="42">
        <f t="shared" si="1"/>
        <v>3055.8300000000017</v>
      </c>
    </row>
    <row r="17" spans="1:5" ht="12.75">
      <c r="A17" s="41" t="s">
        <v>196</v>
      </c>
      <c r="B17" s="204">
        <v>0</v>
      </c>
      <c r="C17" s="222">
        <v>0</v>
      </c>
      <c r="D17" s="26" t="str">
        <f t="shared" si="0"/>
        <v>   </v>
      </c>
      <c r="E17" s="42">
        <f t="shared" si="1"/>
        <v>0</v>
      </c>
    </row>
    <row r="18" spans="1:5" ht="18" customHeight="1">
      <c r="A18" s="16" t="s">
        <v>88</v>
      </c>
      <c r="B18" s="219">
        <v>0</v>
      </c>
      <c r="C18" s="222">
        <v>0</v>
      </c>
      <c r="D18" s="26" t="str">
        <f t="shared" si="0"/>
        <v>   </v>
      </c>
      <c r="E18" s="42">
        <f t="shared" si="1"/>
        <v>0</v>
      </c>
    </row>
    <row r="19" spans="1:5" ht="16.5" customHeight="1">
      <c r="A19" s="16" t="s">
        <v>78</v>
      </c>
      <c r="B19" s="217">
        <f>B21+B20</f>
        <v>0</v>
      </c>
      <c r="C19" s="220">
        <f>C21+C20</f>
        <v>12818</v>
      </c>
      <c r="D19" s="26" t="str">
        <f t="shared" si="0"/>
        <v>   </v>
      </c>
      <c r="E19" s="42">
        <f t="shared" si="1"/>
        <v>12818</v>
      </c>
    </row>
    <row r="20" spans="1:5" ht="16.5" customHeight="1">
      <c r="A20" s="156" t="s">
        <v>184</v>
      </c>
      <c r="B20" s="217">
        <v>0</v>
      </c>
      <c r="C20" s="220">
        <v>0</v>
      </c>
      <c r="D20" s="26" t="str">
        <f>IF(B20=0,"   ",C20/B20*100)</f>
        <v>   </v>
      </c>
      <c r="E20" s="42">
        <f>C20-B20</f>
        <v>0</v>
      </c>
    </row>
    <row r="21" spans="1:5" ht="22.5" customHeight="1">
      <c r="A21" s="16" t="s">
        <v>308</v>
      </c>
      <c r="B21" s="219">
        <v>0</v>
      </c>
      <c r="C21" s="222">
        <v>12818</v>
      </c>
      <c r="D21" s="26" t="str">
        <f t="shared" si="0"/>
        <v>   </v>
      </c>
      <c r="E21" s="42">
        <f t="shared" si="1"/>
        <v>12818</v>
      </c>
    </row>
    <row r="22" spans="1:5" ht="29.25" customHeight="1">
      <c r="A22" s="16" t="s">
        <v>28</v>
      </c>
      <c r="B22" s="219">
        <f>SUM(B23:B24)</f>
        <v>99200</v>
      </c>
      <c r="C22" s="220">
        <f>SUM(C23:C24)</f>
        <v>110543.44</v>
      </c>
      <c r="D22" s="26">
        <f t="shared" si="0"/>
        <v>111.43491935483871</v>
      </c>
      <c r="E22" s="42">
        <f t="shared" si="1"/>
        <v>11343.440000000002</v>
      </c>
    </row>
    <row r="23" spans="1:5" ht="15.75" customHeight="1">
      <c r="A23" s="41" t="s">
        <v>152</v>
      </c>
      <c r="B23" s="219">
        <v>99200</v>
      </c>
      <c r="C23" s="239">
        <v>110543.44</v>
      </c>
      <c r="D23" s="26">
        <f t="shared" si="0"/>
        <v>111.43491935483871</v>
      </c>
      <c r="E23" s="42">
        <f t="shared" si="1"/>
        <v>11343.440000000002</v>
      </c>
    </row>
    <row r="24" spans="1:5" ht="15.75" customHeight="1">
      <c r="A24" s="16" t="s">
        <v>30</v>
      </c>
      <c r="B24" s="219">
        <v>0</v>
      </c>
      <c r="C24" s="222">
        <v>0</v>
      </c>
      <c r="D24" s="26" t="str">
        <f t="shared" si="0"/>
        <v>   </v>
      </c>
      <c r="E24" s="42">
        <f t="shared" si="1"/>
        <v>0</v>
      </c>
    </row>
    <row r="25" spans="1:5" ht="18" customHeight="1">
      <c r="A25" s="16" t="s">
        <v>174</v>
      </c>
      <c r="B25" s="217">
        <f>SUM(B26)</f>
        <v>0</v>
      </c>
      <c r="C25" s="220">
        <f>SUM(C26)</f>
        <v>0</v>
      </c>
      <c r="D25" s="26" t="str">
        <f t="shared" si="0"/>
        <v>   </v>
      </c>
      <c r="E25" s="42">
        <f t="shared" si="1"/>
        <v>0</v>
      </c>
    </row>
    <row r="26" spans="1:5" ht="16.5" customHeight="1">
      <c r="A26" s="16" t="s">
        <v>175</v>
      </c>
      <c r="B26" s="219">
        <v>0</v>
      </c>
      <c r="C26" s="222">
        <v>0</v>
      </c>
      <c r="D26" s="26" t="str">
        <f t="shared" si="0"/>
        <v>   </v>
      </c>
      <c r="E26" s="42">
        <f t="shared" si="1"/>
        <v>0</v>
      </c>
    </row>
    <row r="27" spans="1:5" ht="17.25" customHeight="1">
      <c r="A27" s="16" t="s">
        <v>31</v>
      </c>
      <c r="B27" s="219">
        <v>0</v>
      </c>
      <c r="C27" s="222">
        <v>0</v>
      </c>
      <c r="D27" s="26" t="str">
        <f t="shared" si="0"/>
        <v>   </v>
      </c>
      <c r="E27" s="42">
        <f t="shared" si="1"/>
        <v>0</v>
      </c>
    </row>
    <row r="28" spans="1:5" ht="16.5" customHeight="1">
      <c r="A28" s="16" t="s">
        <v>32</v>
      </c>
      <c r="B28" s="219">
        <f>SUM(B29:B30)</f>
        <v>0</v>
      </c>
      <c r="C28" s="221">
        <f>SUM(C29:C30)</f>
        <v>-30255.76</v>
      </c>
      <c r="D28" s="26" t="str">
        <f t="shared" si="0"/>
        <v>   </v>
      </c>
      <c r="E28" s="42">
        <f t="shared" si="1"/>
        <v>-30255.76</v>
      </c>
    </row>
    <row r="29" spans="1:5" ht="15.75" customHeight="1">
      <c r="A29" s="16" t="s">
        <v>105</v>
      </c>
      <c r="B29" s="219">
        <v>0</v>
      </c>
      <c r="C29" s="221">
        <v>-30255.76</v>
      </c>
      <c r="D29" s="26" t="str">
        <f t="shared" si="0"/>
        <v>   </v>
      </c>
      <c r="E29" s="42">
        <f t="shared" si="1"/>
        <v>-30255.76</v>
      </c>
    </row>
    <row r="30" spans="1:5" s="9" customFormat="1" ht="15" customHeight="1">
      <c r="A30" s="16" t="s">
        <v>108</v>
      </c>
      <c r="B30" s="223">
        <v>0</v>
      </c>
      <c r="C30" s="220">
        <v>0</v>
      </c>
      <c r="D30" s="26" t="str">
        <f t="shared" si="0"/>
        <v>   </v>
      </c>
      <c r="E30" s="40">
        <f>C30-B30</f>
        <v>0</v>
      </c>
    </row>
    <row r="31" spans="1:5" ht="19.5" customHeight="1">
      <c r="A31" s="173" t="s">
        <v>10</v>
      </c>
      <c r="B31" s="209">
        <f>SUM(B6,B8,B10,B12,B17,B18,B19,B22,B27,B28,B25)</f>
        <v>1083800</v>
      </c>
      <c r="C31" s="213">
        <f>SUM(C6,C8,C10,C12,C17,C18,C19,C22,C27,C28,C25)</f>
        <v>852777.9100000001</v>
      </c>
      <c r="D31" s="141">
        <f t="shared" si="0"/>
        <v>78.68406624838532</v>
      </c>
      <c r="E31" s="142">
        <f t="shared" si="1"/>
        <v>-231022.08999999985</v>
      </c>
    </row>
    <row r="32" spans="1:5" ht="19.5" customHeight="1">
      <c r="A32" s="181" t="s">
        <v>140</v>
      </c>
      <c r="B32" s="224">
        <f>SUM(B33:B37,B40:B44,B48)</f>
        <v>5872450</v>
      </c>
      <c r="C32" s="224">
        <f>SUM(C33:C37,C40:C44,C48)</f>
        <v>2384120.29</v>
      </c>
      <c r="D32" s="141">
        <f t="shared" si="0"/>
        <v>40.598392323476574</v>
      </c>
      <c r="E32" s="142">
        <f t="shared" si="1"/>
        <v>-3488329.71</v>
      </c>
    </row>
    <row r="33" spans="1:5" ht="18.75" customHeight="1">
      <c r="A33" s="17" t="s">
        <v>34</v>
      </c>
      <c r="B33" s="217">
        <v>1568500</v>
      </c>
      <c r="C33" s="239">
        <v>1305020</v>
      </c>
      <c r="D33" s="26">
        <f t="shared" si="0"/>
        <v>83.20178514504303</v>
      </c>
      <c r="E33" s="42">
        <f t="shared" si="1"/>
        <v>-263480</v>
      </c>
    </row>
    <row r="34" spans="1:5" ht="18.75" customHeight="1">
      <c r="A34" s="17" t="s">
        <v>229</v>
      </c>
      <c r="B34" s="217">
        <v>0</v>
      </c>
      <c r="C34" s="239">
        <v>0</v>
      </c>
      <c r="D34" s="26" t="str">
        <f>IF(B34=0,"   ",C34/B34*100)</f>
        <v>   </v>
      </c>
      <c r="E34" s="42">
        <f>C34-B34</f>
        <v>0</v>
      </c>
    </row>
    <row r="35" spans="1:5" ht="15.75" customHeight="1">
      <c r="A35" s="41" t="s">
        <v>147</v>
      </c>
      <c r="B35" s="219">
        <v>0</v>
      </c>
      <c r="C35" s="222">
        <v>0</v>
      </c>
      <c r="D35" s="26" t="str">
        <f t="shared" si="0"/>
        <v>   </v>
      </c>
      <c r="E35" s="42">
        <f t="shared" si="1"/>
        <v>0</v>
      </c>
    </row>
    <row r="36" spans="1:5" ht="35.25" customHeight="1">
      <c r="A36" s="134" t="s">
        <v>51</v>
      </c>
      <c r="B36" s="135">
        <v>90300</v>
      </c>
      <c r="C36" s="243">
        <v>70200</v>
      </c>
      <c r="D36" s="136">
        <f t="shared" si="0"/>
        <v>77.74086378737542</v>
      </c>
      <c r="E36" s="137">
        <f t="shared" si="1"/>
        <v>-20100</v>
      </c>
    </row>
    <row r="37" spans="1:5" ht="32.25" customHeight="1">
      <c r="A37" s="109" t="s">
        <v>148</v>
      </c>
      <c r="B37" s="135">
        <f>SUM(B38:B39)</f>
        <v>6700</v>
      </c>
      <c r="C37" s="135">
        <f>SUM(C38:C39)</f>
        <v>100</v>
      </c>
      <c r="D37" s="136">
        <f t="shared" si="0"/>
        <v>1.4925373134328357</v>
      </c>
      <c r="E37" s="137">
        <f t="shared" si="1"/>
        <v>-6600</v>
      </c>
    </row>
    <row r="38" spans="1:5" ht="15.75" customHeight="1">
      <c r="A38" s="109" t="s">
        <v>163</v>
      </c>
      <c r="B38" s="135">
        <v>100</v>
      </c>
      <c r="C38" s="135">
        <v>100</v>
      </c>
      <c r="D38" s="136">
        <f>IF(B38=0,"   ",C38/B38*100)</f>
        <v>100</v>
      </c>
      <c r="E38" s="137">
        <f>C38-B38</f>
        <v>0</v>
      </c>
    </row>
    <row r="39" spans="1:5" ht="24.75" customHeight="1">
      <c r="A39" s="109" t="s">
        <v>164</v>
      </c>
      <c r="B39" s="135">
        <v>6600</v>
      </c>
      <c r="C39" s="135">
        <v>0</v>
      </c>
      <c r="D39" s="136">
        <f>IF(B39=0,"   ",C39/B39*100)</f>
        <v>0</v>
      </c>
      <c r="E39" s="137">
        <f>C39-B39</f>
        <v>-6600</v>
      </c>
    </row>
    <row r="40" spans="1:5" ht="26.25" customHeight="1">
      <c r="A40" s="16" t="s">
        <v>305</v>
      </c>
      <c r="B40" s="135">
        <v>185689.29</v>
      </c>
      <c r="C40" s="135">
        <v>185689.29</v>
      </c>
      <c r="D40" s="136">
        <f t="shared" si="0"/>
        <v>100</v>
      </c>
      <c r="E40" s="137">
        <f t="shared" si="1"/>
        <v>0</v>
      </c>
    </row>
    <row r="41" spans="1:5" ht="25.5" customHeight="1">
      <c r="A41" s="16" t="s">
        <v>298</v>
      </c>
      <c r="B41" s="225">
        <v>1000000</v>
      </c>
      <c r="C41" s="225">
        <v>0</v>
      </c>
      <c r="D41" s="136">
        <f t="shared" si="0"/>
        <v>0</v>
      </c>
      <c r="E41" s="137">
        <f t="shared" si="1"/>
        <v>-1000000</v>
      </c>
    </row>
    <row r="42" spans="1:5" ht="54.75" customHeight="1">
      <c r="A42" s="16" t="s">
        <v>238</v>
      </c>
      <c r="B42" s="135">
        <v>628400</v>
      </c>
      <c r="C42" s="135">
        <v>628400</v>
      </c>
      <c r="D42" s="136">
        <f t="shared" si="0"/>
        <v>100</v>
      </c>
      <c r="E42" s="137">
        <f t="shared" si="1"/>
        <v>0</v>
      </c>
    </row>
    <row r="43" spans="1:5" ht="26.25" customHeight="1">
      <c r="A43" s="16" t="s">
        <v>279</v>
      </c>
      <c r="B43" s="135">
        <v>0</v>
      </c>
      <c r="C43" s="135">
        <v>0</v>
      </c>
      <c r="D43" s="136" t="str">
        <f t="shared" si="0"/>
        <v>   </v>
      </c>
      <c r="E43" s="137">
        <f t="shared" si="1"/>
        <v>0</v>
      </c>
    </row>
    <row r="44" spans="1:5" ht="16.5" customHeight="1">
      <c r="A44" s="16" t="s">
        <v>80</v>
      </c>
      <c r="B44" s="219">
        <f>B47+B45+B46</f>
        <v>2360150</v>
      </c>
      <c r="C44" s="226">
        <f>C47+C45</f>
        <v>162000</v>
      </c>
      <c r="D44" s="26">
        <f t="shared" si="0"/>
        <v>6.863970510348919</v>
      </c>
      <c r="E44" s="42">
        <f t="shared" si="1"/>
        <v>-2198150</v>
      </c>
    </row>
    <row r="45" spans="1:5" ht="15" customHeight="1">
      <c r="A45" s="46" t="s">
        <v>188</v>
      </c>
      <c r="B45" s="219">
        <v>0</v>
      </c>
      <c r="C45" s="226">
        <v>0</v>
      </c>
      <c r="D45" s="26" t="str">
        <f t="shared" si="0"/>
        <v>   </v>
      </c>
      <c r="E45" s="42">
        <f t="shared" si="1"/>
        <v>0</v>
      </c>
    </row>
    <row r="46" spans="1:5" ht="15" customHeight="1">
      <c r="A46" s="46" t="s">
        <v>296</v>
      </c>
      <c r="B46" s="219">
        <v>1926750</v>
      </c>
      <c r="C46" s="226">
        <v>0</v>
      </c>
      <c r="D46" s="26">
        <f>IF(B46=0,"   ",C46/B46*100)</f>
        <v>0</v>
      </c>
      <c r="E46" s="42">
        <f>C46-B46</f>
        <v>-1926750</v>
      </c>
    </row>
    <row r="47" spans="1:5" s="7" customFormat="1" ht="16.5" customHeight="1">
      <c r="A47" s="46" t="s">
        <v>109</v>
      </c>
      <c r="B47" s="227">
        <v>433400</v>
      </c>
      <c r="C47" s="226">
        <v>162000</v>
      </c>
      <c r="D47" s="47">
        <f t="shared" si="0"/>
        <v>37.3788647900323</v>
      </c>
      <c r="E47" s="40">
        <f t="shared" si="1"/>
        <v>-271400</v>
      </c>
    </row>
    <row r="48" spans="1:5" s="7" customFormat="1" ht="19.5" customHeight="1">
      <c r="A48" s="16" t="s">
        <v>199</v>
      </c>
      <c r="B48" s="248">
        <v>32710.71</v>
      </c>
      <c r="C48" s="226">
        <v>32711</v>
      </c>
      <c r="D48" s="47">
        <f>IF(B48=0,"   ",C48/B48*100)</f>
        <v>100.00088655978425</v>
      </c>
      <c r="E48" s="40">
        <f>C48-B48</f>
        <v>0.2900000000008731</v>
      </c>
    </row>
    <row r="49" spans="1:5" ht="21.75" customHeight="1">
      <c r="A49" s="173" t="s">
        <v>11</v>
      </c>
      <c r="B49" s="213">
        <f>B31+B32</f>
        <v>6956250</v>
      </c>
      <c r="C49" s="213">
        <f>C31+C32</f>
        <v>3236898.2</v>
      </c>
      <c r="D49" s="141">
        <f t="shared" si="0"/>
        <v>46.53222929020665</v>
      </c>
      <c r="E49" s="142">
        <f t="shared" si="1"/>
        <v>-3719351.8</v>
      </c>
    </row>
    <row r="50" spans="1:5" ht="12.75">
      <c r="A50" s="30"/>
      <c r="B50" s="217"/>
      <c r="C50" s="228"/>
      <c r="D50" s="26" t="str">
        <f t="shared" si="0"/>
        <v>   </v>
      </c>
      <c r="E50" s="42"/>
    </row>
    <row r="51" spans="1:5" ht="13.5" thickBot="1">
      <c r="A51" s="106" t="s">
        <v>12</v>
      </c>
      <c r="B51" s="229"/>
      <c r="C51" s="230"/>
      <c r="D51" s="112" t="str">
        <f t="shared" si="0"/>
        <v>   </v>
      </c>
      <c r="E51" s="113"/>
    </row>
    <row r="52" spans="1:5" ht="13.5" thickBot="1">
      <c r="A52" s="129" t="s">
        <v>35</v>
      </c>
      <c r="B52" s="130">
        <f>SUM(B53,B56+B57)</f>
        <v>1156400</v>
      </c>
      <c r="C52" s="130">
        <f>SUM(C53,C56+C57)</f>
        <v>872154.14</v>
      </c>
      <c r="D52" s="131">
        <f t="shared" si="0"/>
        <v>75.41976305776548</v>
      </c>
      <c r="E52" s="132">
        <f t="shared" si="1"/>
        <v>-284245.86</v>
      </c>
    </row>
    <row r="53" spans="1:5" ht="13.5" thickBot="1">
      <c r="A53" s="117" t="s">
        <v>36</v>
      </c>
      <c r="B53" s="118">
        <v>1140900</v>
      </c>
      <c r="C53" s="130">
        <v>858788.84</v>
      </c>
      <c r="D53" s="119">
        <f t="shared" si="0"/>
        <v>75.27292838986764</v>
      </c>
      <c r="E53" s="120">
        <f t="shared" si="1"/>
        <v>-282111.16000000003</v>
      </c>
    </row>
    <row r="54" spans="1:5" ht="12.75">
      <c r="A54" s="85" t="s">
        <v>120</v>
      </c>
      <c r="B54" s="25">
        <v>758679</v>
      </c>
      <c r="C54" s="28">
        <v>581100.37</v>
      </c>
      <c r="D54" s="26">
        <f t="shared" si="0"/>
        <v>76.59370695643348</v>
      </c>
      <c r="E54" s="42">
        <f t="shared" si="1"/>
        <v>-177578.63</v>
      </c>
    </row>
    <row r="55" spans="1:5" ht="12.75">
      <c r="A55" s="85" t="s">
        <v>288</v>
      </c>
      <c r="B55" s="25">
        <v>100</v>
      </c>
      <c r="C55" s="28">
        <v>100</v>
      </c>
      <c r="D55" s="26">
        <f>IF(B55=0,"   ",C55/B55*100)</f>
        <v>100</v>
      </c>
      <c r="E55" s="42">
        <f>C55-B55</f>
        <v>0</v>
      </c>
    </row>
    <row r="56" spans="1:5" ht="12.75">
      <c r="A56" s="16" t="s">
        <v>95</v>
      </c>
      <c r="B56" s="25">
        <v>500</v>
      </c>
      <c r="C56" s="28">
        <v>0</v>
      </c>
      <c r="D56" s="26">
        <f t="shared" si="0"/>
        <v>0</v>
      </c>
      <c r="E56" s="42">
        <f t="shared" si="1"/>
        <v>-500</v>
      </c>
    </row>
    <row r="57" spans="1:5" ht="12.75">
      <c r="A57" s="105" t="s">
        <v>53</v>
      </c>
      <c r="B57" s="31">
        <f>SUM(B58)</f>
        <v>15000</v>
      </c>
      <c r="C57" s="31">
        <f>SUM(C58)</f>
        <v>13365.3</v>
      </c>
      <c r="D57" s="112">
        <f t="shared" si="0"/>
        <v>89.10199999999999</v>
      </c>
      <c r="E57" s="113">
        <f t="shared" si="1"/>
        <v>-1634.7000000000007</v>
      </c>
    </row>
    <row r="58" spans="1:5" ht="29.25" customHeight="1" thickBot="1">
      <c r="A58" s="105" t="s">
        <v>248</v>
      </c>
      <c r="B58" s="122">
        <v>15000</v>
      </c>
      <c r="C58" s="123">
        <v>13365.3</v>
      </c>
      <c r="D58" s="112">
        <f t="shared" si="0"/>
        <v>89.10199999999999</v>
      </c>
      <c r="E58" s="113">
        <f t="shared" si="1"/>
        <v>-1634.7000000000007</v>
      </c>
    </row>
    <row r="59" spans="1:5" ht="13.5" thickBot="1">
      <c r="A59" s="129" t="s">
        <v>49</v>
      </c>
      <c r="B59" s="183">
        <f>SUM(B60)</f>
        <v>90300</v>
      </c>
      <c r="C59" s="183">
        <f>SUM(C60)</f>
        <v>57276.33</v>
      </c>
      <c r="D59" s="131">
        <f t="shared" si="0"/>
        <v>63.42893687707642</v>
      </c>
      <c r="E59" s="132">
        <f t="shared" si="1"/>
        <v>-33023.67</v>
      </c>
    </row>
    <row r="60" spans="1:5" ht="16.5" customHeight="1" thickBot="1">
      <c r="A60" s="121" t="s">
        <v>107</v>
      </c>
      <c r="B60" s="122">
        <v>90300</v>
      </c>
      <c r="C60" s="123">
        <v>57276.33</v>
      </c>
      <c r="D60" s="124">
        <f t="shared" si="0"/>
        <v>63.42893687707642</v>
      </c>
      <c r="E60" s="125">
        <f t="shared" si="1"/>
        <v>-33023.67</v>
      </c>
    </row>
    <row r="61" spans="1:5" ht="13.5" thickBot="1">
      <c r="A61" s="129" t="s">
        <v>37</v>
      </c>
      <c r="B61" s="130">
        <f>SUM(B62)</f>
        <v>1000</v>
      </c>
      <c r="C61" s="183">
        <f>SUM(C62)</f>
        <v>1000</v>
      </c>
      <c r="D61" s="131">
        <f t="shared" si="0"/>
        <v>100</v>
      </c>
      <c r="E61" s="132">
        <f t="shared" si="1"/>
        <v>0</v>
      </c>
    </row>
    <row r="62" spans="1:5" ht="13.5" thickBot="1">
      <c r="A62" s="75" t="s">
        <v>128</v>
      </c>
      <c r="B62" s="122">
        <v>1000</v>
      </c>
      <c r="C62" s="123">
        <v>1000</v>
      </c>
      <c r="D62" s="124">
        <f t="shared" si="0"/>
        <v>100</v>
      </c>
      <c r="E62" s="125">
        <f t="shared" si="1"/>
        <v>0</v>
      </c>
    </row>
    <row r="63" spans="1:5" ht="13.5" thickBot="1">
      <c r="A63" s="129" t="s">
        <v>38</v>
      </c>
      <c r="B63" s="99">
        <f>B64+B67+B69+B77</f>
        <v>2020857.1500000001</v>
      </c>
      <c r="C63" s="99">
        <f>C64+C67+C69+C77</f>
        <v>1269974.83</v>
      </c>
      <c r="D63" s="131">
        <f t="shared" si="0"/>
        <v>62.84337465416593</v>
      </c>
      <c r="E63" s="132">
        <f t="shared" si="1"/>
        <v>-750882.3200000001</v>
      </c>
    </row>
    <row r="64" spans="1:5" ht="15.75" customHeight="1" thickBot="1">
      <c r="A64" s="75" t="s">
        <v>176</v>
      </c>
      <c r="B64" s="99">
        <f>SUM(B65+B66)</f>
        <v>6600</v>
      </c>
      <c r="C64" s="99">
        <f>SUM(C65+C66)</f>
        <v>0</v>
      </c>
      <c r="D64" s="131">
        <f>IF(B64=0,"   ",C64/B64*100)</f>
        <v>0</v>
      </c>
      <c r="E64" s="132">
        <f>C64-B64</f>
        <v>-6600</v>
      </c>
    </row>
    <row r="65" spans="1:5" ht="18" customHeight="1" thickBot="1">
      <c r="A65" s="75" t="s">
        <v>166</v>
      </c>
      <c r="B65" s="252">
        <v>6600</v>
      </c>
      <c r="C65" s="130">
        <v>0</v>
      </c>
      <c r="D65" s="131">
        <f>IF(B65=0,"   ",C65/B65*100)</f>
        <v>0</v>
      </c>
      <c r="E65" s="132">
        <f>C65-B65</f>
        <v>-6600</v>
      </c>
    </row>
    <row r="66" spans="1:5" ht="18" customHeight="1" thickBot="1">
      <c r="A66" s="75" t="s">
        <v>189</v>
      </c>
      <c r="B66" s="118">
        <v>0</v>
      </c>
      <c r="C66" s="118">
        <v>0</v>
      </c>
      <c r="D66" s="131" t="str">
        <f>IF(B66=0,"   ",C66/B66*100)</f>
        <v>   </v>
      </c>
      <c r="E66" s="132">
        <f>C66-B66</f>
        <v>0</v>
      </c>
    </row>
    <row r="67" spans="1:5" ht="18" customHeight="1" thickBot="1">
      <c r="A67" s="75" t="s">
        <v>231</v>
      </c>
      <c r="B67" s="99">
        <f>SUM(B68)</f>
        <v>54181.33</v>
      </c>
      <c r="C67" s="99">
        <f>SUM(C68)</f>
        <v>54181.33</v>
      </c>
      <c r="D67" s="131">
        <f>IF(B67=0,"   ",C67/B67*100)</f>
        <v>100</v>
      </c>
      <c r="E67" s="132">
        <f>C67-B67</f>
        <v>0</v>
      </c>
    </row>
    <row r="68" spans="1:5" ht="18" customHeight="1" thickBot="1">
      <c r="A68" s="75" t="s">
        <v>232</v>
      </c>
      <c r="B68" s="118">
        <v>54181.33</v>
      </c>
      <c r="C68" s="118">
        <v>54181.33</v>
      </c>
      <c r="D68" s="131">
        <f>IF(B68=0,"   ",C68/B68*100)</f>
        <v>100</v>
      </c>
      <c r="E68" s="132">
        <f>C68-B68</f>
        <v>0</v>
      </c>
    </row>
    <row r="69" spans="1:5" ht="12.75">
      <c r="A69" s="96" t="s">
        <v>131</v>
      </c>
      <c r="B69" s="118">
        <f>SUM(B70:B76)</f>
        <v>1870075.82</v>
      </c>
      <c r="C69" s="118">
        <f>SUM(C70:C76)</f>
        <v>1215793.5</v>
      </c>
      <c r="D69" s="119">
        <f t="shared" si="0"/>
        <v>65.01305920312899</v>
      </c>
      <c r="E69" s="120">
        <f t="shared" si="1"/>
        <v>-654282.3200000001</v>
      </c>
    </row>
    <row r="70" spans="1:5" ht="19.5" customHeight="1">
      <c r="A70" s="75" t="s">
        <v>149</v>
      </c>
      <c r="B70" s="25">
        <v>0</v>
      </c>
      <c r="C70" s="25">
        <v>0</v>
      </c>
      <c r="D70" s="119" t="str">
        <f t="shared" si="0"/>
        <v>   </v>
      </c>
      <c r="E70" s="120">
        <f t="shared" si="1"/>
        <v>0</v>
      </c>
    </row>
    <row r="71" spans="1:5" ht="26.25">
      <c r="A71" s="71" t="s">
        <v>257</v>
      </c>
      <c r="B71" s="25">
        <v>416975.82</v>
      </c>
      <c r="C71" s="25">
        <v>122205.5</v>
      </c>
      <c r="D71" s="26">
        <f t="shared" si="0"/>
        <v>29.30757471740208</v>
      </c>
      <c r="E71" s="27">
        <f t="shared" si="1"/>
        <v>-294770.32</v>
      </c>
    </row>
    <row r="72" spans="1:5" ht="26.25">
      <c r="A72" s="71" t="s">
        <v>258</v>
      </c>
      <c r="B72" s="25">
        <v>273200</v>
      </c>
      <c r="C72" s="25">
        <v>215288</v>
      </c>
      <c r="D72" s="26">
        <f t="shared" si="0"/>
        <v>78.80234260614934</v>
      </c>
      <c r="E72" s="27">
        <f t="shared" si="1"/>
        <v>-57912</v>
      </c>
    </row>
    <row r="73" spans="1:5" ht="26.25">
      <c r="A73" s="71" t="s">
        <v>259</v>
      </c>
      <c r="B73" s="25">
        <v>628400</v>
      </c>
      <c r="C73" s="25">
        <v>628400</v>
      </c>
      <c r="D73" s="26">
        <f t="shared" si="0"/>
        <v>100</v>
      </c>
      <c r="E73" s="27">
        <f t="shared" si="1"/>
        <v>0</v>
      </c>
    </row>
    <row r="74" spans="1:5" ht="26.25">
      <c r="A74" s="71" t="s">
        <v>260</v>
      </c>
      <c r="B74" s="25">
        <v>69900</v>
      </c>
      <c r="C74" s="25">
        <v>69900</v>
      </c>
      <c r="D74" s="26">
        <f t="shared" si="0"/>
        <v>100</v>
      </c>
      <c r="E74" s="27">
        <f t="shared" si="1"/>
        <v>0</v>
      </c>
    </row>
    <row r="75" spans="1:5" ht="26.25">
      <c r="A75" s="71" t="s">
        <v>261</v>
      </c>
      <c r="B75" s="25">
        <v>433400</v>
      </c>
      <c r="C75" s="25">
        <v>162000</v>
      </c>
      <c r="D75" s="26">
        <f t="shared" si="0"/>
        <v>37.3788647900323</v>
      </c>
      <c r="E75" s="27">
        <f t="shared" si="1"/>
        <v>-271400</v>
      </c>
    </row>
    <row r="76" spans="1:5" ht="27" thickBot="1">
      <c r="A76" s="71" t="s">
        <v>262</v>
      </c>
      <c r="B76" s="114">
        <v>48200</v>
      </c>
      <c r="C76" s="114">
        <v>18000</v>
      </c>
      <c r="D76" s="112">
        <f t="shared" si="0"/>
        <v>37.344398340248965</v>
      </c>
      <c r="E76" s="113">
        <f t="shared" si="1"/>
        <v>-30200</v>
      </c>
    </row>
    <row r="77" spans="1:5" ht="12.75">
      <c r="A77" s="96" t="s">
        <v>177</v>
      </c>
      <c r="B77" s="304">
        <f>SUM(B78+B79)</f>
        <v>90000</v>
      </c>
      <c r="C77" s="304">
        <f>SUM(C79)</f>
        <v>0</v>
      </c>
      <c r="D77" s="112">
        <f>IF(B77=0,"   ",C77/B77*100)</f>
        <v>0</v>
      </c>
      <c r="E77" s="113">
        <f>C77-B77</f>
        <v>-90000</v>
      </c>
    </row>
    <row r="78" spans="1:5" ht="26.25">
      <c r="A78" s="105" t="s">
        <v>155</v>
      </c>
      <c r="B78" s="31">
        <v>40000</v>
      </c>
      <c r="C78" s="31">
        <v>0</v>
      </c>
      <c r="D78" s="112">
        <f>IF(B78=0,"   ",C78/B78*100)</f>
        <v>0</v>
      </c>
      <c r="E78" s="113">
        <f>C78-B78</f>
        <v>-40000</v>
      </c>
    </row>
    <row r="79" spans="1:5" ht="27" thickBot="1">
      <c r="A79" s="75" t="s">
        <v>178</v>
      </c>
      <c r="B79" s="122">
        <v>50000</v>
      </c>
      <c r="C79" s="122">
        <v>0</v>
      </c>
      <c r="D79" s="112">
        <f>IF(B79=0,"   ",C79/B79*100)</f>
        <v>0</v>
      </c>
      <c r="E79" s="113">
        <f>C79-B79</f>
        <v>-50000</v>
      </c>
    </row>
    <row r="80" spans="1:5" ht="13.5" customHeight="1" thickBot="1">
      <c r="A80" s="129" t="s">
        <v>13</v>
      </c>
      <c r="B80" s="130">
        <f>SUM(B89,B88,B81)</f>
        <v>3246760.1799999997</v>
      </c>
      <c r="C80" s="130">
        <f>SUM(C89,C88,C81)</f>
        <v>283752.3</v>
      </c>
      <c r="D80" s="131">
        <f t="shared" si="0"/>
        <v>8.7395521772107</v>
      </c>
      <c r="E80" s="132">
        <f t="shared" si="1"/>
        <v>-2963007.88</v>
      </c>
    </row>
    <row r="81" spans="1:5" ht="13.5" customHeight="1" thickBot="1">
      <c r="A81" s="41" t="s">
        <v>150</v>
      </c>
      <c r="B81" s="118">
        <f>SUM(B82+B83+B84)</f>
        <v>1933360.18</v>
      </c>
      <c r="C81" s="118">
        <f>SUM(C82+C83+C84)</f>
        <v>6610.18</v>
      </c>
      <c r="D81" s="131">
        <f t="shared" si="0"/>
        <v>0.3419011143593534</v>
      </c>
      <c r="E81" s="305">
        <f t="shared" si="1"/>
        <v>-1926750</v>
      </c>
    </row>
    <row r="82" spans="1:5" ht="30.75" customHeight="1" thickBot="1">
      <c r="A82" s="16" t="s">
        <v>195</v>
      </c>
      <c r="B82" s="118">
        <v>6610.18</v>
      </c>
      <c r="C82" s="118">
        <v>6610.18</v>
      </c>
      <c r="D82" s="131">
        <f t="shared" si="0"/>
        <v>100</v>
      </c>
      <c r="E82" s="27">
        <f t="shared" si="1"/>
        <v>0</v>
      </c>
    </row>
    <row r="83" spans="1:5" ht="18" customHeight="1" thickBot="1">
      <c r="A83" s="16" t="s">
        <v>301</v>
      </c>
      <c r="B83" s="118">
        <v>1926750</v>
      </c>
      <c r="C83" s="118">
        <v>0</v>
      </c>
      <c r="D83" s="131">
        <f>IF(B83=0,"   ",C83/B83*100)</f>
        <v>0</v>
      </c>
      <c r="E83" s="27">
        <f>C83-B83</f>
        <v>-1926750</v>
      </c>
    </row>
    <row r="84" spans="1:5" ht="19.5" customHeight="1" thickBot="1">
      <c r="A84" s="105" t="s">
        <v>206</v>
      </c>
      <c r="B84" s="118">
        <f>SUM(B85+B86+B87)</f>
        <v>0</v>
      </c>
      <c r="C84" s="118">
        <f>SUM(C85+C86+C87)</f>
        <v>0</v>
      </c>
      <c r="D84" s="131" t="str">
        <f>IF(B84=0,"   ",C84/B84*100)</f>
        <v>   </v>
      </c>
      <c r="E84" s="27">
        <f>C84-B84</f>
        <v>0</v>
      </c>
    </row>
    <row r="85" spans="1:5" ht="30.75" customHeight="1" thickBot="1">
      <c r="A85" s="105" t="s">
        <v>216</v>
      </c>
      <c r="B85" s="118">
        <v>0</v>
      </c>
      <c r="C85" s="118">
        <v>0</v>
      </c>
      <c r="D85" s="131" t="str">
        <f>IF(B85=0,"   ",C85/B85*100)</f>
        <v>   </v>
      </c>
      <c r="E85" s="27">
        <f>C85-B85</f>
        <v>0</v>
      </c>
    </row>
    <row r="86" spans="1:5" ht="30.75" customHeight="1" thickBot="1">
      <c r="A86" s="105" t="s">
        <v>207</v>
      </c>
      <c r="B86" s="118">
        <v>0</v>
      </c>
      <c r="C86" s="118">
        <v>0</v>
      </c>
      <c r="D86" s="131" t="str">
        <f>IF(B86=0,"   ",C86/B86*100)</f>
        <v>   </v>
      </c>
      <c r="E86" s="27">
        <f>C86-B86</f>
        <v>0</v>
      </c>
    </row>
    <row r="87" spans="1:5" ht="30.75" customHeight="1" thickBot="1">
      <c r="A87" s="105" t="s">
        <v>217</v>
      </c>
      <c r="B87" s="118">
        <v>0</v>
      </c>
      <c r="C87" s="118">
        <v>0</v>
      </c>
      <c r="D87" s="131" t="str">
        <f>IF(B87=0,"   ",C87/B87*100)</f>
        <v>   </v>
      </c>
      <c r="E87" s="27">
        <f>C87-B87</f>
        <v>0</v>
      </c>
    </row>
    <row r="88" spans="1:5" ht="13.5" customHeight="1" thickBot="1">
      <c r="A88" s="117" t="s">
        <v>85</v>
      </c>
      <c r="B88" s="118">
        <v>0</v>
      </c>
      <c r="C88" s="118">
        <v>0</v>
      </c>
      <c r="D88" s="131" t="str">
        <f t="shared" si="0"/>
        <v>   </v>
      </c>
      <c r="E88" s="27">
        <f t="shared" si="1"/>
        <v>0</v>
      </c>
    </row>
    <row r="89" spans="1:5" ht="12.75">
      <c r="A89" s="16" t="s">
        <v>58</v>
      </c>
      <c r="B89" s="25">
        <f>B90+B100+B91+B95+B101</f>
        <v>1313400</v>
      </c>
      <c r="C89" s="25">
        <f>C90+C100+C91+C95+C101</f>
        <v>277142.12</v>
      </c>
      <c r="D89" s="26">
        <f t="shared" si="0"/>
        <v>21.101120755291607</v>
      </c>
      <c r="E89" s="42">
        <f t="shared" si="1"/>
        <v>-1036257.88</v>
      </c>
    </row>
    <row r="90" spans="1:5" ht="12.75">
      <c r="A90" s="16" t="s">
        <v>56</v>
      </c>
      <c r="B90" s="25">
        <v>89000</v>
      </c>
      <c r="C90" s="27">
        <v>58742.12</v>
      </c>
      <c r="D90" s="26">
        <f t="shared" si="0"/>
        <v>66.00238202247192</v>
      </c>
      <c r="E90" s="42">
        <f t="shared" si="1"/>
        <v>-30257.879999999997</v>
      </c>
    </row>
    <row r="91" spans="1:5" ht="12.75">
      <c r="A91" s="105" t="s">
        <v>206</v>
      </c>
      <c r="B91" s="25">
        <f>SUM(B92:B94)</f>
        <v>0</v>
      </c>
      <c r="C91" s="25">
        <f>SUM(C92:C94)</f>
        <v>0</v>
      </c>
      <c r="D91" s="112" t="str">
        <f t="shared" si="0"/>
        <v>   </v>
      </c>
      <c r="E91" s="113">
        <f t="shared" si="1"/>
        <v>0</v>
      </c>
    </row>
    <row r="92" spans="1:5" ht="26.25">
      <c r="A92" s="105" t="s">
        <v>213</v>
      </c>
      <c r="B92" s="25">
        <v>0</v>
      </c>
      <c r="C92" s="27">
        <v>0</v>
      </c>
      <c r="D92" s="112" t="str">
        <f t="shared" si="0"/>
        <v>   </v>
      </c>
      <c r="E92" s="113">
        <f t="shared" si="1"/>
        <v>0</v>
      </c>
    </row>
    <row r="93" spans="1:5" ht="26.25">
      <c r="A93" s="105" t="s">
        <v>214</v>
      </c>
      <c r="B93" s="25">
        <v>0</v>
      </c>
      <c r="C93" s="27">
        <v>0</v>
      </c>
      <c r="D93" s="112" t="str">
        <f t="shared" si="0"/>
        <v>   </v>
      </c>
      <c r="E93" s="113">
        <f t="shared" si="1"/>
        <v>0</v>
      </c>
    </row>
    <row r="94" spans="1:5" ht="26.25">
      <c r="A94" s="105" t="s">
        <v>215</v>
      </c>
      <c r="B94" s="25">
        <v>0</v>
      </c>
      <c r="C94" s="27">
        <v>0</v>
      </c>
      <c r="D94" s="112" t="str">
        <f t="shared" si="0"/>
        <v>   </v>
      </c>
      <c r="E94" s="113">
        <f t="shared" si="1"/>
        <v>0</v>
      </c>
    </row>
    <row r="95" spans="1:5" ht="15">
      <c r="A95" s="292" t="s">
        <v>274</v>
      </c>
      <c r="B95" s="25">
        <f>SUM(B97+B98+B99+B96)</f>
        <v>218400</v>
      </c>
      <c r="C95" s="25">
        <f>SUM(C97+C98+C99+C96)</f>
        <v>218400</v>
      </c>
      <c r="D95" s="112">
        <f>IF(B95=0,"   ",C95/B95*100)</f>
        <v>100</v>
      </c>
      <c r="E95" s="113">
        <f>C95-B95</f>
        <v>0</v>
      </c>
    </row>
    <row r="96" spans="1:5" ht="15">
      <c r="A96" s="292" t="s">
        <v>275</v>
      </c>
      <c r="B96" s="114">
        <v>151390.86</v>
      </c>
      <c r="C96" s="114">
        <v>151390.86</v>
      </c>
      <c r="D96" s="112">
        <f>IF(B96=0,"   ",C96/B96*100)</f>
        <v>100</v>
      </c>
      <c r="E96" s="113">
        <f>C96-B96</f>
        <v>0</v>
      </c>
    </row>
    <row r="97" spans="1:5" ht="15">
      <c r="A97" s="292" t="s">
        <v>276</v>
      </c>
      <c r="B97" s="114">
        <v>1529.2</v>
      </c>
      <c r="C97" s="115">
        <v>1529.2</v>
      </c>
      <c r="D97" s="112">
        <f t="shared" si="0"/>
        <v>100</v>
      </c>
      <c r="E97" s="113">
        <f t="shared" si="1"/>
        <v>0</v>
      </c>
    </row>
    <row r="98" spans="1:5" ht="15" customHeight="1">
      <c r="A98" s="292" t="s">
        <v>277</v>
      </c>
      <c r="B98" s="114">
        <v>32769.23</v>
      </c>
      <c r="C98" s="115">
        <v>32769.23</v>
      </c>
      <c r="D98" s="112">
        <f t="shared" si="0"/>
        <v>100</v>
      </c>
      <c r="E98" s="113">
        <f t="shared" si="1"/>
        <v>0</v>
      </c>
    </row>
    <row r="99" spans="1:5" ht="16.5" customHeight="1">
      <c r="A99" s="292" t="s">
        <v>278</v>
      </c>
      <c r="B99" s="114">
        <v>32710.71</v>
      </c>
      <c r="C99" s="115">
        <v>32710.71</v>
      </c>
      <c r="D99" s="112">
        <f t="shared" si="0"/>
        <v>100</v>
      </c>
      <c r="E99" s="113">
        <f t="shared" si="1"/>
        <v>0</v>
      </c>
    </row>
    <row r="100" spans="1:5" ht="12.75">
      <c r="A100" s="105" t="s">
        <v>59</v>
      </c>
      <c r="B100" s="25">
        <v>6000</v>
      </c>
      <c r="C100" s="27">
        <v>0</v>
      </c>
      <c r="D100" s="26">
        <f t="shared" si="0"/>
        <v>0</v>
      </c>
      <c r="E100" s="27">
        <f t="shared" si="1"/>
        <v>-6000</v>
      </c>
    </row>
    <row r="101" spans="1:5" ht="27" thickBot="1">
      <c r="A101" s="105" t="s">
        <v>302</v>
      </c>
      <c r="B101" s="25">
        <v>1000000</v>
      </c>
      <c r="C101" s="27">
        <v>0</v>
      </c>
      <c r="D101" s="26">
        <f t="shared" si="0"/>
        <v>0</v>
      </c>
      <c r="E101" s="27">
        <f t="shared" si="1"/>
        <v>-1000000</v>
      </c>
    </row>
    <row r="102" spans="1:5" ht="15" thickBot="1">
      <c r="A102" s="133" t="s">
        <v>17</v>
      </c>
      <c r="B102" s="196">
        <v>8000</v>
      </c>
      <c r="C102" s="196">
        <v>0</v>
      </c>
      <c r="D102" s="145">
        <f t="shared" si="0"/>
        <v>0</v>
      </c>
      <c r="E102" s="146">
        <f t="shared" si="1"/>
        <v>-8000</v>
      </c>
    </row>
    <row r="103" spans="1:5" ht="13.5" thickBot="1">
      <c r="A103" s="129" t="s">
        <v>41</v>
      </c>
      <c r="B103" s="184">
        <f>B104</f>
        <v>594560</v>
      </c>
      <c r="C103" s="184">
        <f>C104</f>
        <v>527622.69</v>
      </c>
      <c r="D103" s="131">
        <f t="shared" si="0"/>
        <v>88.74170647201291</v>
      </c>
      <c r="E103" s="132">
        <f t="shared" si="1"/>
        <v>-66937.31000000006</v>
      </c>
    </row>
    <row r="104" spans="1:5" ht="12.75">
      <c r="A104" s="117" t="s">
        <v>42</v>
      </c>
      <c r="B104" s="118">
        <f>SUM(B105+B107+B106)</f>
        <v>594560</v>
      </c>
      <c r="C104" s="118">
        <f>SUM(C105+C107+C106)</f>
        <v>527622.69</v>
      </c>
      <c r="D104" s="119">
        <f t="shared" si="0"/>
        <v>88.74170647201291</v>
      </c>
      <c r="E104" s="120">
        <f t="shared" si="1"/>
        <v>-66937.31000000006</v>
      </c>
    </row>
    <row r="105" spans="1:5" ht="12.75">
      <c r="A105" s="169" t="s">
        <v>143</v>
      </c>
      <c r="B105" s="122">
        <v>484560</v>
      </c>
      <c r="C105" s="123">
        <v>484560</v>
      </c>
      <c r="D105" s="124">
        <f t="shared" si="0"/>
        <v>100</v>
      </c>
      <c r="E105" s="125">
        <f t="shared" si="1"/>
        <v>0</v>
      </c>
    </row>
    <row r="106" spans="1:5" ht="12.75">
      <c r="A106" s="117" t="s">
        <v>310</v>
      </c>
      <c r="B106" s="122">
        <v>10000</v>
      </c>
      <c r="C106" s="123">
        <v>0</v>
      </c>
      <c r="D106" s="124">
        <f t="shared" si="0"/>
        <v>0</v>
      </c>
      <c r="E106" s="307">
        <f t="shared" si="1"/>
        <v>-10000</v>
      </c>
    </row>
    <row r="107" spans="1:5" ht="21.75" customHeight="1" thickBot="1">
      <c r="A107" s="16" t="s">
        <v>263</v>
      </c>
      <c r="B107" s="25">
        <v>100000</v>
      </c>
      <c r="C107" s="27">
        <v>43062.69</v>
      </c>
      <c r="D107" s="26">
        <f t="shared" si="0"/>
        <v>43.06269</v>
      </c>
      <c r="E107" s="27">
        <f t="shared" si="1"/>
        <v>-56937.31</v>
      </c>
    </row>
    <row r="108" spans="1:5" ht="13.5" thickBot="1">
      <c r="A108" s="129" t="s">
        <v>124</v>
      </c>
      <c r="B108" s="185">
        <f>SUM(B109,)</f>
        <v>8000</v>
      </c>
      <c r="C108" s="185">
        <f>SUM(C109,)</f>
        <v>0</v>
      </c>
      <c r="D108" s="145">
        <f t="shared" si="0"/>
        <v>0</v>
      </c>
      <c r="E108" s="146">
        <f t="shared" si="1"/>
        <v>-8000</v>
      </c>
    </row>
    <row r="109" spans="1:5" ht="12.75">
      <c r="A109" s="127" t="s">
        <v>43</v>
      </c>
      <c r="B109" s="122">
        <v>8000</v>
      </c>
      <c r="C109" s="128">
        <v>0</v>
      </c>
      <c r="D109" s="124">
        <f t="shared" si="0"/>
        <v>0</v>
      </c>
      <c r="E109" s="125">
        <f t="shared" si="1"/>
        <v>-8000</v>
      </c>
    </row>
    <row r="110" spans="1:5" ht="27" customHeight="1">
      <c r="A110" s="173" t="s">
        <v>15</v>
      </c>
      <c r="B110" s="150">
        <f>SUM(B52,B59,B61,B63,B80,B102,B103,B108,)</f>
        <v>7125877.33</v>
      </c>
      <c r="C110" s="150">
        <f>SUM(C52,C59,C61,C63,C80,C102,C103,C108,)</f>
        <v>3011780.2899999996</v>
      </c>
      <c r="D110" s="141">
        <f>IF(B110=0,"   ",C110/B110*100)</f>
        <v>42.26539625261834</v>
      </c>
      <c r="E110" s="142">
        <f>C110-B110</f>
        <v>-4114097.0400000005</v>
      </c>
    </row>
    <row r="111" spans="1:5" s="59" customFormat="1" ht="23.25" customHeight="1">
      <c r="A111" s="80" t="s">
        <v>304</v>
      </c>
      <c r="B111" s="80"/>
      <c r="C111" s="309"/>
      <c r="D111" s="309"/>
      <c r="E111" s="309"/>
    </row>
    <row r="112" spans="1:5" s="59" customFormat="1" ht="12" customHeight="1">
      <c r="A112" s="80" t="s">
        <v>154</v>
      </c>
      <c r="B112" s="80"/>
      <c r="C112" s="81" t="s">
        <v>247</v>
      </c>
      <c r="D112" s="82"/>
      <c r="E112" s="83"/>
    </row>
    <row r="113" spans="1:5" ht="12.75">
      <c r="A113" s="7"/>
      <c r="B113" s="7"/>
      <c r="C113" s="6"/>
      <c r="D113" s="7"/>
      <c r="E113" s="2"/>
    </row>
    <row r="114" spans="1:5" ht="12.75">
      <c r="A114" s="7"/>
      <c r="B114" s="7"/>
      <c r="C114" s="6"/>
      <c r="D114" s="7"/>
      <c r="E114" s="2"/>
    </row>
    <row r="115" spans="1:5" ht="12.75">
      <c r="A115" s="7"/>
      <c r="B115" s="7"/>
      <c r="C115" s="6"/>
      <c r="D115" s="7"/>
      <c r="E115" s="2"/>
    </row>
    <row r="116" spans="1:5" ht="12.75">
      <c r="A116" s="7"/>
      <c r="B116" s="7"/>
      <c r="C116" s="6"/>
      <c r="D116" s="7"/>
      <c r="E116" s="2"/>
    </row>
    <row r="117" spans="1:5" ht="12.75">
      <c r="A117" s="4"/>
      <c r="B117" s="4"/>
      <c r="C117" s="4"/>
      <c r="D117" s="4"/>
      <c r="E117" s="4"/>
    </row>
    <row r="118" spans="1:5" ht="12.75">
      <c r="A118" s="4"/>
      <c r="B118" s="4"/>
      <c r="C118" s="4"/>
      <c r="D118" s="4"/>
      <c r="E118" s="4"/>
    </row>
    <row r="119" spans="1:5" ht="12.75">
      <c r="A119" s="4"/>
      <c r="B119" s="4"/>
      <c r="C119" s="4"/>
      <c r="D119" s="4"/>
      <c r="E119" s="4"/>
    </row>
    <row r="120" spans="1:5" ht="12.75">
      <c r="A120" s="4"/>
      <c r="B120" s="4"/>
      <c r="C120" s="4"/>
      <c r="D120" s="4"/>
      <c r="E120" s="4"/>
    </row>
    <row r="121" spans="1:5" ht="12.75">
      <c r="A121" s="4"/>
      <c r="B121" s="4"/>
      <c r="C121" s="4"/>
      <c r="D121" s="4"/>
      <c r="E121" s="4"/>
    </row>
    <row r="122" spans="1:5" ht="12.75">
      <c r="A122" s="4"/>
      <c r="B122" s="4"/>
      <c r="C122" s="4"/>
      <c r="D122" s="4"/>
      <c r="E122" s="4"/>
    </row>
    <row r="123" spans="1:5" ht="12.75">
      <c r="A123" s="4"/>
      <c r="B123" s="4"/>
      <c r="C123" s="4"/>
      <c r="D123" s="4"/>
      <c r="E123" s="4"/>
    </row>
    <row r="124" spans="1:5" ht="12.75">
      <c r="A124" s="4"/>
      <c r="B124" s="4"/>
      <c r="C124" s="4"/>
      <c r="D124" s="4"/>
      <c r="E124" s="4"/>
    </row>
    <row r="125" spans="1:5" ht="12.75">
      <c r="A125" s="4"/>
      <c r="B125" s="4"/>
      <c r="C125" s="4"/>
      <c r="D125" s="4"/>
      <c r="E125" s="4"/>
    </row>
    <row r="126" spans="1:5" ht="12.75">
      <c r="A126" s="4"/>
      <c r="B126" s="4"/>
      <c r="C126" s="4"/>
      <c r="D126" s="4"/>
      <c r="E126" s="4"/>
    </row>
    <row r="127" spans="1:5" ht="12.75">
      <c r="A127" s="4"/>
      <c r="B127" s="4"/>
      <c r="C127" s="4"/>
      <c r="D127" s="4"/>
      <c r="E127" s="4"/>
    </row>
    <row r="128" spans="1:5" ht="12.75">
      <c r="A128" s="4"/>
      <c r="B128" s="4"/>
      <c r="C128" s="4"/>
      <c r="D128" s="4"/>
      <c r="E128" s="4"/>
    </row>
    <row r="129" spans="1:5" ht="12.75">
      <c r="A129" s="4"/>
      <c r="B129" s="4"/>
      <c r="C129" s="4"/>
      <c r="D129" s="4"/>
      <c r="E129" s="4"/>
    </row>
    <row r="130" spans="1:5" ht="12.75">
      <c r="A130" s="4"/>
      <c r="B130" s="4"/>
      <c r="C130" s="4"/>
      <c r="D130" s="4"/>
      <c r="E130" s="4"/>
    </row>
    <row r="131" spans="1:5" ht="12.75">
      <c r="A131" s="4"/>
      <c r="B131" s="4"/>
      <c r="C131" s="4"/>
      <c r="D131" s="4"/>
      <c r="E131" s="4"/>
    </row>
    <row r="132" spans="1:5" ht="12.75">
      <c r="A132" s="4"/>
      <c r="B132" s="4"/>
      <c r="C132" s="4"/>
      <c r="D132" s="4"/>
      <c r="E132" s="4"/>
    </row>
    <row r="133" spans="1:5" ht="12.75">
      <c r="A133" s="4"/>
      <c r="B133" s="4"/>
      <c r="C133" s="4"/>
      <c r="D133" s="4"/>
      <c r="E133" s="4"/>
    </row>
    <row r="134" spans="1:5" ht="12.75">
      <c r="A134" s="4"/>
      <c r="B134" s="4"/>
      <c r="C134" s="4"/>
      <c r="D134" s="4"/>
      <c r="E134" s="4"/>
    </row>
    <row r="135" spans="1:5" ht="12.75">
      <c r="A135" s="4"/>
      <c r="B135" s="4"/>
      <c r="C135" s="4"/>
      <c r="D135" s="4"/>
      <c r="E135" s="4"/>
    </row>
  </sheetData>
  <sheetProtection/>
  <mergeCells count="2">
    <mergeCell ref="A1:E1"/>
    <mergeCell ref="C111:E111"/>
  </mergeCells>
  <printOptions/>
  <pageMargins left="1.1811023622047245" right="0.7874015748031497" top="0.4724409448818898" bottom="0.5118110236220472" header="0.5118110236220472" footer="0.5118110236220472"/>
  <pageSetup fitToHeight="2" fitToWidth="2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6"/>
  <sheetViews>
    <sheetView zoomScaleSheetLayoutView="100" zoomScalePageLayoutView="0" workbookViewId="0" topLeftCell="A29">
      <selection activeCell="C35" sqref="C35"/>
    </sheetView>
  </sheetViews>
  <sheetFormatPr defaultColWidth="9.00390625" defaultRowHeight="12.75"/>
  <cols>
    <col min="1" max="1" width="105.125" style="0" customWidth="1"/>
    <col min="2" max="2" width="15.375" style="0" customWidth="1"/>
    <col min="3" max="3" width="19.50390625" style="0" customWidth="1"/>
    <col min="4" max="4" width="14.50390625" style="0" customWidth="1"/>
    <col min="5" max="5" width="19.375" style="0" customWidth="1"/>
  </cols>
  <sheetData>
    <row r="1" spans="1:5" ht="17.25">
      <c r="A1" s="311" t="s">
        <v>315</v>
      </c>
      <c r="B1" s="311"/>
      <c r="C1" s="311"/>
      <c r="D1" s="311"/>
      <c r="E1" s="311"/>
    </row>
    <row r="2" spans="1:5" ht="13.5" thickBot="1">
      <c r="A2" s="4"/>
      <c r="B2" s="4"/>
      <c r="C2" s="5"/>
      <c r="D2" s="4"/>
      <c r="E2" s="4" t="s">
        <v>0</v>
      </c>
    </row>
    <row r="3" spans="1:5" ht="76.5" customHeight="1">
      <c r="A3" s="34" t="s">
        <v>1</v>
      </c>
      <c r="B3" s="19" t="s">
        <v>251</v>
      </c>
      <c r="C3" s="32" t="s">
        <v>314</v>
      </c>
      <c r="D3" s="19" t="s">
        <v>252</v>
      </c>
      <c r="E3" s="36" t="s">
        <v>256</v>
      </c>
    </row>
    <row r="4" spans="1:5" ht="12.75">
      <c r="A4" s="13">
        <v>1</v>
      </c>
      <c r="B4" s="74">
        <v>2</v>
      </c>
      <c r="C4" s="33">
        <v>3</v>
      </c>
      <c r="D4" s="29">
        <v>4</v>
      </c>
      <c r="E4" s="14">
        <v>5</v>
      </c>
    </row>
    <row r="5" spans="1:5" ht="12.75">
      <c r="A5" s="22" t="s">
        <v>2</v>
      </c>
      <c r="B5" s="11"/>
      <c r="C5" s="12"/>
      <c r="D5" s="25"/>
      <c r="E5" s="15"/>
    </row>
    <row r="6" spans="1:5" ht="15" customHeight="1">
      <c r="A6" s="17" t="s">
        <v>45</v>
      </c>
      <c r="B6" s="24">
        <f>SUM(B7)</f>
        <v>77000</v>
      </c>
      <c r="C6" s="149">
        <f>SUM(C7)</f>
        <v>43543.47</v>
      </c>
      <c r="D6" s="26">
        <f aca="true" t="shared" si="0" ref="D6:D94">IF(B6=0,"   ",C6/B6*100)</f>
        <v>56.54996103896104</v>
      </c>
      <c r="E6" s="42">
        <f aca="true" t="shared" si="1" ref="E6:E95">C6-B6</f>
        <v>-33456.53</v>
      </c>
    </row>
    <row r="7" spans="1:5" ht="15" customHeight="1">
      <c r="A7" s="16" t="s">
        <v>44</v>
      </c>
      <c r="B7" s="25">
        <v>77000</v>
      </c>
      <c r="C7" s="240">
        <v>43543.47</v>
      </c>
      <c r="D7" s="26">
        <f t="shared" si="0"/>
        <v>56.54996103896104</v>
      </c>
      <c r="E7" s="42">
        <f t="shared" si="1"/>
        <v>-33456.53</v>
      </c>
    </row>
    <row r="8" spans="1:5" ht="15.75" customHeight="1">
      <c r="A8" s="64" t="s">
        <v>137</v>
      </c>
      <c r="B8" s="24">
        <f>SUM(B9)</f>
        <v>391400</v>
      </c>
      <c r="C8" s="200">
        <f>SUM(C9)</f>
        <v>309617.01</v>
      </c>
      <c r="D8" s="26">
        <f t="shared" si="0"/>
        <v>79.10501021972406</v>
      </c>
      <c r="E8" s="42">
        <f t="shared" si="1"/>
        <v>-81782.98999999999</v>
      </c>
    </row>
    <row r="9" spans="1:5" ht="15" customHeight="1">
      <c r="A9" s="41" t="s">
        <v>138</v>
      </c>
      <c r="B9" s="25">
        <v>391400</v>
      </c>
      <c r="C9" s="240">
        <v>309617.01</v>
      </c>
      <c r="D9" s="26">
        <f t="shared" si="0"/>
        <v>79.10501021972406</v>
      </c>
      <c r="E9" s="42">
        <f t="shared" si="1"/>
        <v>-81782.98999999999</v>
      </c>
    </row>
    <row r="10" spans="1:5" ht="16.5" customHeight="1">
      <c r="A10" s="16" t="s">
        <v>7</v>
      </c>
      <c r="B10" s="25">
        <f>B11</f>
        <v>25800</v>
      </c>
      <c r="C10" s="201">
        <f>C11</f>
        <v>16379.46</v>
      </c>
      <c r="D10" s="26">
        <f t="shared" si="0"/>
        <v>63.486279069767434</v>
      </c>
      <c r="E10" s="42">
        <f t="shared" si="1"/>
        <v>-9420.54</v>
      </c>
    </row>
    <row r="11" spans="1:5" ht="15" customHeight="1">
      <c r="A11" s="16" t="s">
        <v>26</v>
      </c>
      <c r="B11" s="25">
        <v>25800</v>
      </c>
      <c r="C11" s="240">
        <v>16379.46</v>
      </c>
      <c r="D11" s="26">
        <f t="shared" si="0"/>
        <v>63.486279069767434</v>
      </c>
      <c r="E11" s="42">
        <f t="shared" si="1"/>
        <v>-9420.54</v>
      </c>
    </row>
    <row r="12" spans="1:5" ht="15" customHeight="1">
      <c r="A12" s="16" t="s">
        <v>9</v>
      </c>
      <c r="B12" s="25">
        <f>SUM(B13:B14)</f>
        <v>227000</v>
      </c>
      <c r="C12" s="201">
        <f>SUM(C13:C14)</f>
        <v>121951.81</v>
      </c>
      <c r="D12" s="26">
        <f t="shared" si="0"/>
        <v>53.72326431718062</v>
      </c>
      <c r="E12" s="42">
        <f t="shared" si="1"/>
        <v>-105048.19</v>
      </c>
    </row>
    <row r="13" spans="1:5" ht="12.75" customHeight="1">
      <c r="A13" s="16" t="s">
        <v>27</v>
      </c>
      <c r="B13" s="25">
        <v>70000</v>
      </c>
      <c r="C13" s="240">
        <v>52758.65</v>
      </c>
      <c r="D13" s="26">
        <f t="shared" si="0"/>
        <v>75.3695</v>
      </c>
      <c r="E13" s="42">
        <f t="shared" si="1"/>
        <v>-17241.35</v>
      </c>
    </row>
    <row r="14" spans="1:5" ht="15" customHeight="1">
      <c r="A14" s="41" t="s">
        <v>160</v>
      </c>
      <c r="B14" s="31">
        <f>SUM(B15:B16)</f>
        <v>157000</v>
      </c>
      <c r="C14" s="201">
        <f>SUM(C15:C16)</f>
        <v>69193.16</v>
      </c>
      <c r="D14" s="26">
        <f t="shared" si="0"/>
        <v>44.07207643312102</v>
      </c>
      <c r="E14" s="42">
        <f t="shared" si="1"/>
        <v>-87806.84</v>
      </c>
    </row>
    <row r="15" spans="1:5" ht="15" customHeight="1">
      <c r="A15" s="41" t="s">
        <v>161</v>
      </c>
      <c r="B15" s="31">
        <v>1000</v>
      </c>
      <c r="C15" s="240">
        <v>2511.7</v>
      </c>
      <c r="D15" s="26">
        <f t="shared" si="0"/>
        <v>251.17</v>
      </c>
      <c r="E15" s="42">
        <f t="shared" si="1"/>
        <v>1511.6999999999998</v>
      </c>
    </row>
    <row r="16" spans="1:5" ht="15" customHeight="1">
      <c r="A16" s="41" t="s">
        <v>162</v>
      </c>
      <c r="B16" s="31">
        <v>156000</v>
      </c>
      <c r="C16" s="240">
        <v>66681.46</v>
      </c>
      <c r="D16" s="26">
        <f t="shared" si="0"/>
        <v>42.744525641025646</v>
      </c>
      <c r="E16" s="42">
        <f t="shared" si="1"/>
        <v>-89318.54</v>
      </c>
    </row>
    <row r="17" spans="1:5" ht="15" customHeight="1">
      <c r="A17" s="41" t="s">
        <v>196</v>
      </c>
      <c r="B17" s="31">
        <v>0</v>
      </c>
      <c r="C17" s="202">
        <v>600</v>
      </c>
      <c r="D17" s="26" t="str">
        <f t="shared" si="0"/>
        <v>   </v>
      </c>
      <c r="E17" s="42">
        <f t="shared" si="1"/>
        <v>600</v>
      </c>
    </row>
    <row r="18" spans="1:5" ht="27.75" customHeight="1">
      <c r="A18" s="16" t="s">
        <v>88</v>
      </c>
      <c r="B18" s="25">
        <v>0</v>
      </c>
      <c r="C18" s="201">
        <v>0</v>
      </c>
      <c r="D18" s="26" t="str">
        <f t="shared" si="0"/>
        <v>   </v>
      </c>
      <c r="E18" s="42">
        <f t="shared" si="1"/>
        <v>0</v>
      </c>
    </row>
    <row r="19" spans="1:5" ht="27.75" customHeight="1">
      <c r="A19" s="16" t="s">
        <v>28</v>
      </c>
      <c r="B19" s="25">
        <f>SUM(B20:B21)</f>
        <v>130200</v>
      </c>
      <c r="C19" s="201">
        <f>SUM(C20:C21)</f>
        <v>54169.05</v>
      </c>
      <c r="D19" s="26">
        <f t="shared" si="0"/>
        <v>41.6044930875576</v>
      </c>
      <c r="E19" s="42">
        <f t="shared" si="1"/>
        <v>-76030.95</v>
      </c>
    </row>
    <row r="20" spans="1:5" ht="12.75" customHeight="1">
      <c r="A20" s="41" t="s">
        <v>152</v>
      </c>
      <c r="B20" s="25">
        <v>96200</v>
      </c>
      <c r="C20" s="240">
        <v>25959.15</v>
      </c>
      <c r="D20" s="26">
        <f t="shared" si="0"/>
        <v>26.98456340956341</v>
      </c>
      <c r="E20" s="42">
        <f t="shared" si="1"/>
        <v>-70240.85</v>
      </c>
    </row>
    <row r="21" spans="1:5" ht="15.75" customHeight="1">
      <c r="A21" s="16" t="s">
        <v>30</v>
      </c>
      <c r="B21" s="25">
        <v>34000</v>
      </c>
      <c r="C21" s="240">
        <v>28209.9</v>
      </c>
      <c r="D21" s="26">
        <f t="shared" si="0"/>
        <v>82.97029411764706</v>
      </c>
      <c r="E21" s="42">
        <f t="shared" si="1"/>
        <v>-5790.0999999999985</v>
      </c>
    </row>
    <row r="22" spans="1:5" ht="15.75" customHeight="1">
      <c r="A22" s="39" t="s">
        <v>91</v>
      </c>
      <c r="B22" s="25">
        <v>0</v>
      </c>
      <c r="C22" s="202">
        <v>0</v>
      </c>
      <c r="D22" s="26" t="str">
        <f t="shared" si="0"/>
        <v>   </v>
      </c>
      <c r="E22" s="42">
        <f t="shared" si="1"/>
        <v>0</v>
      </c>
    </row>
    <row r="23" spans="1:5" ht="15.75" customHeight="1">
      <c r="A23" s="16" t="s">
        <v>78</v>
      </c>
      <c r="B23" s="24">
        <f>B24+B25</f>
        <v>0</v>
      </c>
      <c r="C23" s="200">
        <f>C24+C25</f>
        <v>3920</v>
      </c>
      <c r="D23" s="26" t="str">
        <f t="shared" si="0"/>
        <v>   </v>
      </c>
      <c r="E23" s="42">
        <f t="shared" si="1"/>
        <v>3920</v>
      </c>
    </row>
    <row r="24" spans="1:5" ht="27.75" customHeight="1">
      <c r="A24" s="16" t="s">
        <v>309</v>
      </c>
      <c r="B24" s="25">
        <v>0</v>
      </c>
      <c r="C24" s="243">
        <v>3920</v>
      </c>
      <c r="D24" s="26" t="str">
        <f t="shared" si="0"/>
        <v>   </v>
      </c>
      <c r="E24" s="42">
        <f t="shared" si="1"/>
        <v>3920</v>
      </c>
    </row>
    <row r="25" spans="1:5" ht="15" customHeight="1">
      <c r="A25" s="41" t="s">
        <v>134</v>
      </c>
      <c r="B25" s="25">
        <v>0</v>
      </c>
      <c r="C25" s="240">
        <v>0</v>
      </c>
      <c r="D25" s="26" t="str">
        <f t="shared" si="0"/>
        <v>   </v>
      </c>
      <c r="E25" s="42">
        <f t="shared" si="1"/>
        <v>0</v>
      </c>
    </row>
    <row r="26" spans="1:5" ht="13.5" customHeight="1">
      <c r="A26" s="16" t="s">
        <v>32</v>
      </c>
      <c r="B26" s="25">
        <f>SUM(B27:B28)</f>
        <v>0</v>
      </c>
      <c r="C26" s="201">
        <f>SUM(C27:C28)</f>
        <v>0</v>
      </c>
      <c r="D26" s="26" t="str">
        <f t="shared" si="0"/>
        <v>   </v>
      </c>
      <c r="E26" s="42">
        <f t="shared" si="1"/>
        <v>0</v>
      </c>
    </row>
    <row r="27" spans="1:5" ht="13.5" customHeight="1">
      <c r="A27" s="16" t="s">
        <v>46</v>
      </c>
      <c r="B27" s="25">
        <v>0</v>
      </c>
      <c r="C27" s="201">
        <v>0</v>
      </c>
      <c r="D27" s="26"/>
      <c r="E27" s="42">
        <f t="shared" si="1"/>
        <v>0</v>
      </c>
    </row>
    <row r="28" spans="1:5" ht="15" customHeight="1">
      <c r="A28" s="16" t="s">
        <v>50</v>
      </c>
      <c r="B28" s="25">
        <v>0</v>
      </c>
      <c r="C28" s="202">
        <v>0</v>
      </c>
      <c r="D28" s="26" t="str">
        <f t="shared" si="0"/>
        <v>   </v>
      </c>
      <c r="E28" s="42">
        <f t="shared" si="1"/>
        <v>0</v>
      </c>
    </row>
    <row r="29" spans="1:5" ht="13.5" customHeight="1">
      <c r="A29" s="16" t="s">
        <v>31</v>
      </c>
      <c r="B29" s="25">
        <v>0</v>
      </c>
      <c r="C29" s="201">
        <v>0</v>
      </c>
      <c r="D29" s="26" t="str">
        <f t="shared" si="0"/>
        <v>   </v>
      </c>
      <c r="E29" s="42">
        <f t="shared" si="1"/>
        <v>0</v>
      </c>
    </row>
    <row r="30" spans="1:5" ht="22.5" customHeight="1">
      <c r="A30" s="173" t="s">
        <v>10</v>
      </c>
      <c r="B30" s="43">
        <f>SUM(B6,B8,B10,B12,B18,B19,B22,B23,B29,B26,B17)</f>
        <v>851400</v>
      </c>
      <c r="C30" s="150">
        <f>SUM(C6,C8,C10,C12,C18,C19,C22,C23,C29,C26,C17)</f>
        <v>550180.8</v>
      </c>
      <c r="D30" s="141">
        <f t="shared" si="0"/>
        <v>64.62071881606765</v>
      </c>
      <c r="E30" s="142">
        <f t="shared" si="1"/>
        <v>-301219.19999999995</v>
      </c>
    </row>
    <row r="31" spans="1:5" ht="16.5" customHeight="1">
      <c r="A31" s="181" t="s">
        <v>140</v>
      </c>
      <c r="B31" s="189">
        <f>SUM(B32:B35,B38:B41,B45)</f>
        <v>3651460</v>
      </c>
      <c r="C31" s="189">
        <f>SUM(C32:C35,C38:C41,C45)</f>
        <v>1612489</v>
      </c>
      <c r="D31" s="141">
        <f t="shared" si="0"/>
        <v>44.160116775207726</v>
      </c>
      <c r="E31" s="142">
        <f t="shared" si="1"/>
        <v>-2038971</v>
      </c>
    </row>
    <row r="32" spans="1:5" ht="20.25" customHeight="1">
      <c r="A32" s="17" t="s">
        <v>34</v>
      </c>
      <c r="B32" s="24">
        <v>1218400</v>
      </c>
      <c r="C32" s="244">
        <v>1013760</v>
      </c>
      <c r="D32" s="26">
        <f t="shared" si="0"/>
        <v>83.20420223243599</v>
      </c>
      <c r="E32" s="42">
        <f t="shared" si="1"/>
        <v>-204640</v>
      </c>
    </row>
    <row r="33" spans="1:5" ht="20.25" customHeight="1">
      <c r="A33" s="17" t="s">
        <v>229</v>
      </c>
      <c r="B33" s="24">
        <v>0</v>
      </c>
      <c r="C33" s="244">
        <v>0</v>
      </c>
      <c r="D33" s="26" t="str">
        <f>IF(B33=0,"   ",C33/B33*100)</f>
        <v>   </v>
      </c>
      <c r="E33" s="42">
        <f>C33-B33</f>
        <v>0</v>
      </c>
    </row>
    <row r="34" spans="1:5" ht="26.25" customHeight="1">
      <c r="A34" s="134" t="s">
        <v>51</v>
      </c>
      <c r="B34" s="135">
        <v>90300</v>
      </c>
      <c r="C34" s="244">
        <v>82500</v>
      </c>
      <c r="D34" s="136">
        <f t="shared" si="0"/>
        <v>91.36212624584718</v>
      </c>
      <c r="E34" s="137">
        <f t="shared" si="1"/>
        <v>-7800</v>
      </c>
    </row>
    <row r="35" spans="1:5" ht="26.25" customHeight="1">
      <c r="A35" s="109" t="s">
        <v>148</v>
      </c>
      <c r="B35" s="135">
        <f>SUM(B36:B37)</f>
        <v>100</v>
      </c>
      <c r="C35" s="135">
        <f>SUM(C36:C37)</f>
        <v>100</v>
      </c>
      <c r="D35" s="136">
        <f t="shared" si="0"/>
        <v>100</v>
      </c>
      <c r="E35" s="137">
        <f t="shared" si="1"/>
        <v>0</v>
      </c>
    </row>
    <row r="36" spans="1:5" ht="17.25" customHeight="1">
      <c r="A36" s="109" t="s">
        <v>163</v>
      </c>
      <c r="B36" s="135">
        <v>100</v>
      </c>
      <c r="C36" s="135">
        <v>100</v>
      </c>
      <c r="D36" s="136">
        <f>IF(B36=0,"   ",C36/B36*100)</f>
        <v>100</v>
      </c>
      <c r="E36" s="137">
        <f>C36-B36</f>
        <v>0</v>
      </c>
    </row>
    <row r="37" spans="1:5" ht="26.25" customHeight="1">
      <c r="A37" s="109" t="s">
        <v>164</v>
      </c>
      <c r="B37" s="135">
        <v>0</v>
      </c>
      <c r="C37" s="135">
        <v>0</v>
      </c>
      <c r="D37" s="136" t="str">
        <f>IF(B37=0,"   ",C37/B37*100)</f>
        <v>   </v>
      </c>
      <c r="E37" s="137">
        <f>C37-B37</f>
        <v>0</v>
      </c>
    </row>
    <row r="38" spans="1:5" ht="44.25" customHeight="1">
      <c r="A38" s="16" t="s">
        <v>103</v>
      </c>
      <c r="B38" s="25">
        <v>0</v>
      </c>
      <c r="C38" s="25">
        <v>0</v>
      </c>
      <c r="D38" s="26" t="str">
        <f t="shared" si="0"/>
        <v>   </v>
      </c>
      <c r="E38" s="42">
        <f t="shared" si="1"/>
        <v>0</v>
      </c>
    </row>
    <row r="39" spans="1:5" ht="33" customHeight="1">
      <c r="A39" s="16" t="s">
        <v>298</v>
      </c>
      <c r="B39" s="25">
        <v>200000</v>
      </c>
      <c r="C39" s="25">
        <v>0</v>
      </c>
      <c r="D39" s="26">
        <f t="shared" si="0"/>
        <v>0</v>
      </c>
      <c r="E39" s="42">
        <f t="shared" si="1"/>
        <v>-200000</v>
      </c>
    </row>
    <row r="40" spans="1:5" ht="57" customHeight="1">
      <c r="A40" s="16" t="s">
        <v>238</v>
      </c>
      <c r="B40" s="25">
        <v>328400</v>
      </c>
      <c r="C40" s="25">
        <v>328400</v>
      </c>
      <c r="D40" s="26">
        <f t="shared" si="0"/>
        <v>100</v>
      </c>
      <c r="E40" s="42">
        <f t="shared" si="1"/>
        <v>0</v>
      </c>
    </row>
    <row r="41" spans="1:5" ht="15" customHeight="1">
      <c r="A41" s="16" t="s">
        <v>55</v>
      </c>
      <c r="B41" s="25">
        <f>B44+B43</f>
        <v>1814260</v>
      </c>
      <c r="C41" s="25">
        <f>C44+C43</f>
        <v>187729</v>
      </c>
      <c r="D41" s="26">
        <f t="shared" si="0"/>
        <v>10.347414372802135</v>
      </c>
      <c r="E41" s="42">
        <f t="shared" si="1"/>
        <v>-1626531</v>
      </c>
    </row>
    <row r="42" spans="1:5" ht="15" customHeight="1">
      <c r="A42" s="46" t="s">
        <v>188</v>
      </c>
      <c r="B42" s="25">
        <v>0</v>
      </c>
      <c r="C42" s="25">
        <v>0</v>
      </c>
      <c r="D42" s="47" t="str">
        <f t="shared" si="0"/>
        <v>   </v>
      </c>
      <c r="E42" s="40">
        <f t="shared" si="1"/>
        <v>0</v>
      </c>
    </row>
    <row r="43" spans="1:5" ht="15" customHeight="1">
      <c r="A43" s="46" t="s">
        <v>296</v>
      </c>
      <c r="B43" s="25">
        <v>1571660</v>
      </c>
      <c r="C43" s="25">
        <v>0</v>
      </c>
      <c r="D43" s="47">
        <f>IF(B43=0,"   ",C43/B43*100)</f>
        <v>0</v>
      </c>
      <c r="E43" s="40">
        <f>C43-B43</f>
        <v>-1571660</v>
      </c>
    </row>
    <row r="44" spans="1:5" s="7" customFormat="1" ht="18" customHeight="1">
      <c r="A44" s="46" t="s">
        <v>109</v>
      </c>
      <c r="B44" s="47">
        <v>242600</v>
      </c>
      <c r="C44" s="27">
        <v>187729</v>
      </c>
      <c r="D44" s="47">
        <f t="shared" si="0"/>
        <v>77.38211046990932</v>
      </c>
      <c r="E44" s="40">
        <f t="shared" si="1"/>
        <v>-54871</v>
      </c>
    </row>
    <row r="45" spans="1:5" s="7" customFormat="1" ht="18" customHeight="1">
      <c r="A45" s="16" t="s">
        <v>199</v>
      </c>
      <c r="B45" s="47">
        <v>0</v>
      </c>
      <c r="C45" s="27">
        <v>0</v>
      </c>
      <c r="D45" s="47" t="str">
        <f t="shared" si="0"/>
        <v>   </v>
      </c>
      <c r="E45" s="40">
        <f t="shared" si="1"/>
        <v>0</v>
      </c>
    </row>
    <row r="46" spans="1:5" ht="18.75" customHeight="1">
      <c r="A46" s="173" t="s">
        <v>11</v>
      </c>
      <c r="B46" s="150">
        <f>SUM(B30:B31,)</f>
        <v>4502860</v>
      </c>
      <c r="C46" s="150">
        <f>SUM(C30:C31,)</f>
        <v>2162669.8</v>
      </c>
      <c r="D46" s="141">
        <f t="shared" si="0"/>
        <v>48.028803915733555</v>
      </c>
      <c r="E46" s="142">
        <f t="shared" si="1"/>
        <v>-2340190.2</v>
      </c>
    </row>
    <row r="47" spans="1:5" ht="15" customHeight="1" thickBot="1">
      <c r="A47" s="106" t="s">
        <v>12</v>
      </c>
      <c r="B47" s="107"/>
      <c r="C47" s="108"/>
      <c r="D47" s="112" t="str">
        <f t="shared" si="0"/>
        <v>   </v>
      </c>
      <c r="E47" s="113">
        <f t="shared" si="1"/>
        <v>0</v>
      </c>
    </row>
    <row r="48" spans="1:5" ht="27.75" customHeight="1" thickBot="1">
      <c r="A48" s="129" t="s">
        <v>35</v>
      </c>
      <c r="B48" s="130">
        <f>SUM(B49,B52:B53)</f>
        <v>1446000</v>
      </c>
      <c r="C48" s="130">
        <f>SUM(C49,C52:C53)</f>
        <v>1065169.15</v>
      </c>
      <c r="D48" s="131">
        <f t="shared" si="0"/>
        <v>73.66315006915629</v>
      </c>
      <c r="E48" s="132">
        <f t="shared" si="1"/>
        <v>-380830.8500000001</v>
      </c>
    </row>
    <row r="49" spans="1:5" ht="15.75" customHeight="1">
      <c r="A49" s="117" t="s">
        <v>36</v>
      </c>
      <c r="B49" s="118">
        <v>1421500</v>
      </c>
      <c r="C49" s="118">
        <v>1062669.15</v>
      </c>
      <c r="D49" s="119">
        <f t="shared" si="0"/>
        <v>74.75688709110095</v>
      </c>
      <c r="E49" s="120">
        <f t="shared" si="1"/>
        <v>-358830.8500000001</v>
      </c>
    </row>
    <row r="50" spans="1:5" ht="14.25" customHeight="1">
      <c r="A50" s="85" t="s">
        <v>120</v>
      </c>
      <c r="B50" s="25">
        <v>973679</v>
      </c>
      <c r="C50" s="28">
        <v>722319.55</v>
      </c>
      <c r="D50" s="26">
        <f t="shared" si="0"/>
        <v>74.1845669876828</v>
      </c>
      <c r="E50" s="42">
        <f t="shared" si="1"/>
        <v>-251359.44999999995</v>
      </c>
    </row>
    <row r="51" spans="1:5" ht="14.25" customHeight="1">
      <c r="A51" s="85" t="s">
        <v>288</v>
      </c>
      <c r="B51" s="25">
        <v>100</v>
      </c>
      <c r="C51" s="28">
        <v>100</v>
      </c>
      <c r="D51" s="26">
        <f>IF(B51=0,"   ",C51/B51*100)</f>
        <v>100</v>
      </c>
      <c r="E51" s="42">
        <f>C51-B51</f>
        <v>0</v>
      </c>
    </row>
    <row r="52" spans="1:5" ht="12.75" customHeight="1">
      <c r="A52" s="16" t="s">
        <v>95</v>
      </c>
      <c r="B52" s="25">
        <v>500</v>
      </c>
      <c r="C52" s="27">
        <v>0</v>
      </c>
      <c r="D52" s="26">
        <f t="shared" si="0"/>
        <v>0</v>
      </c>
      <c r="E52" s="42">
        <f t="shared" si="1"/>
        <v>-500</v>
      </c>
    </row>
    <row r="53" spans="1:5" ht="12.75" customHeight="1">
      <c r="A53" s="16" t="s">
        <v>52</v>
      </c>
      <c r="B53" s="25">
        <f>B55+B54</f>
        <v>24000</v>
      </c>
      <c r="C53" s="25">
        <f>C55+C54</f>
        <v>2500</v>
      </c>
      <c r="D53" s="26">
        <f t="shared" si="0"/>
        <v>10.416666666666668</v>
      </c>
      <c r="E53" s="42">
        <f t="shared" si="1"/>
        <v>-21500</v>
      </c>
    </row>
    <row r="54" spans="1:5" ht="30.75" customHeight="1">
      <c r="A54" s="105" t="s">
        <v>244</v>
      </c>
      <c r="B54" s="25">
        <v>24000</v>
      </c>
      <c r="C54" s="27">
        <v>2500</v>
      </c>
      <c r="D54" s="26">
        <f t="shared" si="0"/>
        <v>10.416666666666668</v>
      </c>
      <c r="E54" s="42">
        <f t="shared" si="1"/>
        <v>-21500</v>
      </c>
    </row>
    <row r="55" spans="1:5" ht="24" customHeight="1" thickBot="1">
      <c r="A55" s="105" t="s">
        <v>237</v>
      </c>
      <c r="B55" s="25">
        <v>0</v>
      </c>
      <c r="C55" s="27">
        <v>0</v>
      </c>
      <c r="D55" s="26" t="str">
        <f>IF(B55=0,"   ",C55/B55*100)</f>
        <v>   </v>
      </c>
      <c r="E55" s="42">
        <f>C55-B55</f>
        <v>0</v>
      </c>
    </row>
    <row r="56" spans="1:5" ht="14.25" customHeight="1" thickBot="1">
      <c r="A56" s="129" t="s">
        <v>49</v>
      </c>
      <c r="B56" s="250">
        <f>SUM(B57)</f>
        <v>90300</v>
      </c>
      <c r="C56" s="250">
        <f>SUM(C57)</f>
        <v>73774.05</v>
      </c>
      <c r="D56" s="131">
        <f t="shared" si="0"/>
        <v>81.69883720930233</v>
      </c>
      <c r="E56" s="132">
        <f t="shared" si="1"/>
        <v>-16525.949999999997</v>
      </c>
    </row>
    <row r="57" spans="1:5" ht="22.5" customHeight="1" thickBot="1">
      <c r="A57" s="121" t="s">
        <v>107</v>
      </c>
      <c r="B57" s="122">
        <v>90300</v>
      </c>
      <c r="C57" s="123">
        <v>73774.05</v>
      </c>
      <c r="D57" s="131">
        <f t="shared" si="0"/>
        <v>81.69883720930233</v>
      </c>
      <c r="E57" s="125">
        <f t="shared" si="1"/>
        <v>-16525.949999999997</v>
      </c>
    </row>
    <row r="58" spans="1:5" ht="17.25" customHeight="1" thickBot="1">
      <c r="A58" s="129" t="s">
        <v>37</v>
      </c>
      <c r="B58" s="130">
        <f>SUM(B59)</f>
        <v>400</v>
      </c>
      <c r="C58" s="130">
        <f>SUM(C59)</f>
        <v>400</v>
      </c>
      <c r="D58" s="131">
        <f t="shared" si="0"/>
        <v>100</v>
      </c>
      <c r="E58" s="132">
        <f t="shared" si="1"/>
        <v>0</v>
      </c>
    </row>
    <row r="59" spans="1:5" ht="15.75" customHeight="1">
      <c r="A59" s="75" t="s">
        <v>128</v>
      </c>
      <c r="B59" s="118">
        <v>400</v>
      </c>
      <c r="C59" s="126">
        <v>400</v>
      </c>
      <c r="D59" s="119">
        <f t="shared" si="0"/>
        <v>100</v>
      </c>
      <c r="E59" s="120">
        <f t="shared" si="1"/>
        <v>0</v>
      </c>
    </row>
    <row r="60" spans="1:5" ht="18.75" customHeight="1" thickBot="1">
      <c r="A60" s="147" t="s">
        <v>38</v>
      </c>
      <c r="B60" s="114">
        <f>B64+B61+B72</f>
        <v>1052727.97</v>
      </c>
      <c r="C60" s="114">
        <f>C64+C61+C72</f>
        <v>791889</v>
      </c>
      <c r="D60" s="112">
        <f t="shared" si="0"/>
        <v>75.22256675672824</v>
      </c>
      <c r="E60" s="113">
        <f t="shared" si="1"/>
        <v>-260838.96999999997</v>
      </c>
    </row>
    <row r="61" spans="1:5" ht="18.75" customHeight="1" thickBot="1">
      <c r="A61" s="75" t="s">
        <v>165</v>
      </c>
      <c r="B61" s="99">
        <f>SUM(B62+B63)</f>
        <v>0</v>
      </c>
      <c r="C61" s="99">
        <f>SUM(C62+C63)</f>
        <v>0</v>
      </c>
      <c r="D61" s="112" t="str">
        <f>IF(B61=0,"   ",C61/B61*100)</f>
        <v>   </v>
      </c>
      <c r="E61" s="113">
        <f>C61-B61</f>
        <v>0</v>
      </c>
    </row>
    <row r="62" spans="1:5" ht="18.75" customHeight="1">
      <c r="A62" s="75" t="s">
        <v>166</v>
      </c>
      <c r="B62" s="122">
        <v>0</v>
      </c>
      <c r="C62" s="114">
        <v>0</v>
      </c>
      <c r="D62" s="112" t="str">
        <f>IF(B62=0,"   ",C62/B62*100)</f>
        <v>   </v>
      </c>
      <c r="E62" s="113">
        <f>C62-B62</f>
        <v>0</v>
      </c>
    </row>
    <row r="63" spans="1:5" ht="18.75" customHeight="1">
      <c r="A63" s="75" t="s">
        <v>189</v>
      </c>
      <c r="B63" s="122">
        <v>0</v>
      </c>
      <c r="C63" s="114">
        <v>0</v>
      </c>
      <c r="D63" s="112" t="str">
        <f>IF(B63=0,"   ",C63/B63*100)</f>
        <v>   </v>
      </c>
      <c r="E63" s="113">
        <f>C63-B63</f>
        <v>0</v>
      </c>
    </row>
    <row r="64" spans="1:5" ht="15" customHeight="1">
      <c r="A64" s="148" t="s">
        <v>131</v>
      </c>
      <c r="B64" s="25">
        <f>SUM(B65:B71)</f>
        <v>1015727.97</v>
      </c>
      <c r="C64" s="25">
        <f>SUM(C65:C71)</f>
        <v>783889</v>
      </c>
      <c r="D64" s="112">
        <f t="shared" si="0"/>
        <v>77.17509246102577</v>
      </c>
      <c r="E64" s="113">
        <f t="shared" si="1"/>
        <v>-231838.96999999997</v>
      </c>
    </row>
    <row r="65" spans="1:5" ht="18.75" customHeight="1">
      <c r="A65" s="75" t="s">
        <v>149</v>
      </c>
      <c r="B65" s="25">
        <v>0</v>
      </c>
      <c r="C65" s="25">
        <v>0</v>
      </c>
      <c r="D65" s="112" t="str">
        <f t="shared" si="0"/>
        <v>   </v>
      </c>
      <c r="E65" s="113">
        <f t="shared" si="1"/>
        <v>0</v>
      </c>
    </row>
    <row r="66" spans="1:5" ht="30.75" customHeight="1">
      <c r="A66" s="71" t="s">
        <v>257</v>
      </c>
      <c r="B66" s="25">
        <v>348827.97</v>
      </c>
      <c r="C66" s="25">
        <v>178000</v>
      </c>
      <c r="D66" s="112">
        <f>IF(B66=0,"   ",C66/B66*100)</f>
        <v>51.02801819475658</v>
      </c>
      <c r="E66" s="113">
        <f>C66-B66</f>
        <v>-170827.96999999997</v>
      </c>
    </row>
    <row r="67" spans="1:5" ht="30" customHeight="1">
      <c r="A67" s="71" t="s">
        <v>258</v>
      </c>
      <c r="B67" s="25">
        <v>32400</v>
      </c>
      <c r="C67" s="25">
        <v>32400</v>
      </c>
      <c r="D67" s="112">
        <f t="shared" si="0"/>
        <v>100</v>
      </c>
      <c r="E67" s="113">
        <f t="shared" si="1"/>
        <v>0</v>
      </c>
    </row>
    <row r="68" spans="1:5" ht="30" customHeight="1">
      <c r="A68" s="71" t="s">
        <v>259</v>
      </c>
      <c r="B68" s="25">
        <v>328400</v>
      </c>
      <c r="C68" s="25">
        <v>328400</v>
      </c>
      <c r="D68" s="112">
        <f t="shared" si="0"/>
        <v>100</v>
      </c>
      <c r="E68" s="113">
        <f t="shared" si="1"/>
        <v>0</v>
      </c>
    </row>
    <row r="69" spans="1:5" ht="30" customHeight="1">
      <c r="A69" s="71" t="s">
        <v>260</v>
      </c>
      <c r="B69" s="25">
        <v>36500</v>
      </c>
      <c r="C69" s="25">
        <v>36500</v>
      </c>
      <c r="D69" s="112">
        <f t="shared" si="0"/>
        <v>100</v>
      </c>
      <c r="E69" s="113">
        <f t="shared" si="1"/>
        <v>0</v>
      </c>
    </row>
    <row r="70" spans="1:5" ht="30" customHeight="1">
      <c r="A70" s="71" t="s">
        <v>261</v>
      </c>
      <c r="B70" s="25">
        <v>242600</v>
      </c>
      <c r="C70" s="25">
        <v>187729</v>
      </c>
      <c r="D70" s="112">
        <f t="shared" si="0"/>
        <v>77.38211046990932</v>
      </c>
      <c r="E70" s="113">
        <f t="shared" si="1"/>
        <v>-54871</v>
      </c>
    </row>
    <row r="71" spans="1:5" ht="30" customHeight="1" thickBot="1">
      <c r="A71" s="71" t="s">
        <v>262</v>
      </c>
      <c r="B71" s="25">
        <v>27000</v>
      </c>
      <c r="C71" s="25">
        <v>20860</v>
      </c>
      <c r="D71" s="112">
        <f t="shared" si="0"/>
        <v>77.25925925925927</v>
      </c>
      <c r="E71" s="113">
        <f t="shared" si="1"/>
        <v>-6140</v>
      </c>
    </row>
    <row r="72" spans="1:5" ht="18" customHeight="1" thickBot="1">
      <c r="A72" s="96" t="s">
        <v>177</v>
      </c>
      <c r="B72" s="99">
        <f>SUM(B73)</f>
        <v>37000</v>
      </c>
      <c r="C72" s="99">
        <f>SUM(C73)</f>
        <v>8000</v>
      </c>
      <c r="D72" s="112">
        <f>IF(B72=0,"   ",C72/B72*100)</f>
        <v>21.62162162162162</v>
      </c>
      <c r="E72" s="113">
        <f>C72-B72</f>
        <v>-29000</v>
      </c>
    </row>
    <row r="73" spans="1:5" ht="31.5" customHeight="1">
      <c r="A73" s="75" t="s">
        <v>178</v>
      </c>
      <c r="B73" s="122">
        <v>37000</v>
      </c>
      <c r="C73" s="122">
        <v>8000</v>
      </c>
      <c r="D73" s="112">
        <f>IF(B73=0,"   ",C73/B73*100)</f>
        <v>21.62162162162162</v>
      </c>
      <c r="E73" s="113">
        <f>C73-B73</f>
        <v>-29000</v>
      </c>
    </row>
    <row r="74" spans="1:5" ht="20.25" customHeight="1" thickBot="1">
      <c r="A74" s="144" t="s">
        <v>13</v>
      </c>
      <c r="B74" s="185">
        <f>SUM(B78,B75)</f>
        <v>2065090</v>
      </c>
      <c r="C74" s="185">
        <f>SUM(C78,C75)</f>
        <v>52129.44</v>
      </c>
      <c r="D74" s="124">
        <f t="shared" si="0"/>
        <v>2.5243180684619073</v>
      </c>
      <c r="E74" s="125">
        <f t="shared" si="1"/>
        <v>-2012960.56</v>
      </c>
    </row>
    <row r="75" spans="1:5" ht="15" customHeight="1" thickBot="1">
      <c r="A75" s="41" t="s">
        <v>150</v>
      </c>
      <c r="B75" s="99">
        <f>SUM(B76+B77)</f>
        <v>1674790</v>
      </c>
      <c r="C75" s="99">
        <f>SUM(C76+C77)</f>
        <v>0</v>
      </c>
      <c r="D75" s="124">
        <f>IF(B75=0,"   ",C75/B75*100)</f>
        <v>0</v>
      </c>
      <c r="E75" s="125">
        <f>C75-B75</f>
        <v>-1674790</v>
      </c>
    </row>
    <row r="76" spans="1:5" ht="15" customHeight="1">
      <c r="A76" s="16" t="s">
        <v>301</v>
      </c>
      <c r="B76" s="25">
        <v>1571660</v>
      </c>
      <c r="C76" s="25">
        <v>0</v>
      </c>
      <c r="D76" s="124">
        <f>IF(B76=0,"   ",C76/B76*100)</f>
        <v>0</v>
      </c>
      <c r="E76" s="125">
        <f>C76-B76</f>
        <v>-1571660</v>
      </c>
    </row>
    <row r="77" spans="1:5" ht="15" customHeight="1">
      <c r="A77" s="16" t="s">
        <v>306</v>
      </c>
      <c r="B77" s="25">
        <v>103130</v>
      </c>
      <c r="C77" s="25">
        <v>0</v>
      </c>
      <c r="D77" s="124">
        <f>IF(B77=0,"   ",C77/B77*100)</f>
        <v>0</v>
      </c>
      <c r="E77" s="125">
        <f>C77-B77</f>
        <v>-103130</v>
      </c>
    </row>
    <row r="78" spans="1:5" ht="15" customHeight="1">
      <c r="A78" s="16" t="s">
        <v>58</v>
      </c>
      <c r="B78" s="25">
        <f>B79+B80+B81+B82+B86</f>
        <v>390300</v>
      </c>
      <c r="C78" s="25">
        <f>C79+C80+C81+C82+C86</f>
        <v>52129.44</v>
      </c>
      <c r="D78" s="26">
        <f t="shared" si="0"/>
        <v>13.356249039200616</v>
      </c>
      <c r="E78" s="42">
        <f t="shared" si="1"/>
        <v>-338170.56</v>
      </c>
    </row>
    <row r="79" spans="1:5" ht="15" customHeight="1">
      <c r="A79" s="16" t="s">
        <v>60</v>
      </c>
      <c r="B79" s="25">
        <v>185300</v>
      </c>
      <c r="C79" s="27">
        <v>52129.44</v>
      </c>
      <c r="D79" s="26">
        <f t="shared" si="0"/>
        <v>28.132455477603884</v>
      </c>
      <c r="E79" s="42">
        <f t="shared" si="1"/>
        <v>-133170.56</v>
      </c>
    </row>
    <row r="80" spans="1:5" ht="15" customHeight="1">
      <c r="A80" s="105" t="s">
        <v>59</v>
      </c>
      <c r="B80" s="114">
        <v>5000</v>
      </c>
      <c r="C80" s="115">
        <v>0</v>
      </c>
      <c r="D80" s="112">
        <f t="shared" si="0"/>
        <v>0</v>
      </c>
      <c r="E80" s="113">
        <f t="shared" si="1"/>
        <v>-5000</v>
      </c>
    </row>
    <row r="81" spans="1:5" ht="29.25" customHeight="1">
      <c r="A81" s="105" t="s">
        <v>167</v>
      </c>
      <c r="B81" s="25">
        <v>0</v>
      </c>
      <c r="C81" s="27">
        <v>0</v>
      </c>
      <c r="D81" s="26" t="str">
        <f t="shared" si="0"/>
        <v>   </v>
      </c>
      <c r="E81" s="27">
        <f t="shared" si="1"/>
        <v>0</v>
      </c>
    </row>
    <row r="82" spans="1:5" ht="21.75" customHeight="1">
      <c r="A82" s="105" t="s">
        <v>206</v>
      </c>
      <c r="B82" s="25">
        <f>SUM(B83+B84+B85)</f>
        <v>0</v>
      </c>
      <c r="C82" s="25">
        <f>SUM(C83+C84+C85)</f>
        <v>0</v>
      </c>
      <c r="D82" s="26" t="str">
        <f>IF(B82=0,"   ",C82/B82*100)</f>
        <v>   </v>
      </c>
      <c r="E82" s="27">
        <f>C82-B82</f>
        <v>0</v>
      </c>
    </row>
    <row r="83" spans="1:5" ht="29.25" customHeight="1">
      <c r="A83" s="105" t="s">
        <v>187</v>
      </c>
      <c r="B83" s="25">
        <v>0</v>
      </c>
      <c r="C83" s="27">
        <v>0</v>
      </c>
      <c r="D83" s="26" t="str">
        <f>IF(B83=0,"   ",C83/B83*100)</f>
        <v>   </v>
      </c>
      <c r="E83" s="27">
        <f>C83-B83</f>
        <v>0</v>
      </c>
    </row>
    <row r="84" spans="1:5" ht="29.25" customHeight="1">
      <c r="A84" s="105" t="s">
        <v>190</v>
      </c>
      <c r="B84" s="25">
        <v>0</v>
      </c>
      <c r="C84" s="27">
        <v>0</v>
      </c>
      <c r="D84" s="26" t="str">
        <f>IF(B84=0,"   ",C84/B84*100)</f>
        <v>   </v>
      </c>
      <c r="E84" s="27">
        <f>C84-B84</f>
        <v>0</v>
      </c>
    </row>
    <row r="85" spans="1:5" ht="29.25" customHeight="1">
      <c r="A85" s="105" t="s">
        <v>191</v>
      </c>
      <c r="B85" s="25">
        <v>0</v>
      </c>
      <c r="C85" s="27">
        <v>0</v>
      </c>
      <c r="D85" s="26" t="str">
        <f>IF(B85=0,"   ",C85/B85*100)</f>
        <v>   </v>
      </c>
      <c r="E85" s="27">
        <f>C85-B85</f>
        <v>0</v>
      </c>
    </row>
    <row r="86" spans="1:5" ht="28.5" customHeight="1" thickBot="1">
      <c r="A86" s="105" t="s">
        <v>302</v>
      </c>
      <c r="B86" s="25">
        <v>200000</v>
      </c>
      <c r="C86" s="27">
        <v>0</v>
      </c>
      <c r="D86" s="26">
        <f t="shared" si="0"/>
        <v>0</v>
      </c>
      <c r="E86" s="27">
        <f t="shared" si="1"/>
        <v>-200000</v>
      </c>
    </row>
    <row r="87" spans="1:5" ht="18.75" customHeight="1" thickBot="1">
      <c r="A87" s="133" t="s">
        <v>17</v>
      </c>
      <c r="B87" s="196">
        <v>8000</v>
      </c>
      <c r="C87" s="196">
        <v>0</v>
      </c>
      <c r="D87" s="145">
        <f t="shared" si="0"/>
        <v>0</v>
      </c>
      <c r="E87" s="146">
        <f t="shared" si="1"/>
        <v>-8000</v>
      </c>
    </row>
    <row r="88" spans="1:5" ht="19.5" customHeight="1" thickBot="1">
      <c r="A88" s="129" t="s">
        <v>41</v>
      </c>
      <c r="B88" s="184">
        <f>B89</f>
        <v>496900</v>
      </c>
      <c r="C88" s="184">
        <f>C89</f>
        <v>291606.6</v>
      </c>
      <c r="D88" s="131">
        <f t="shared" si="0"/>
        <v>58.68516804185953</v>
      </c>
      <c r="E88" s="132">
        <f t="shared" si="1"/>
        <v>-205293.40000000002</v>
      </c>
    </row>
    <row r="89" spans="1:5" ht="12.75">
      <c r="A89" s="117" t="s">
        <v>42</v>
      </c>
      <c r="B89" s="118">
        <f>SUM(B90:B92)</f>
        <v>496900</v>
      </c>
      <c r="C89" s="118">
        <f>SUM(C90:C92)</f>
        <v>291606.6</v>
      </c>
      <c r="D89" s="119">
        <f t="shared" si="0"/>
        <v>58.68516804185953</v>
      </c>
      <c r="E89" s="120">
        <f t="shared" si="1"/>
        <v>-205293.40000000002</v>
      </c>
    </row>
    <row r="90" spans="1:5" ht="12.75">
      <c r="A90" s="169" t="s">
        <v>143</v>
      </c>
      <c r="B90" s="118">
        <v>239400</v>
      </c>
      <c r="C90" s="126">
        <v>239400</v>
      </c>
      <c r="D90" s="119">
        <f t="shared" si="0"/>
        <v>100</v>
      </c>
      <c r="E90" s="120">
        <f t="shared" si="1"/>
        <v>0</v>
      </c>
    </row>
    <row r="91" spans="1:5" ht="12.75">
      <c r="A91" s="16" t="s">
        <v>224</v>
      </c>
      <c r="B91" s="118">
        <v>0</v>
      </c>
      <c r="C91" s="126">
        <v>0</v>
      </c>
      <c r="D91" s="119" t="str">
        <f t="shared" si="0"/>
        <v>   </v>
      </c>
      <c r="E91" s="120">
        <f t="shared" si="1"/>
        <v>0</v>
      </c>
    </row>
    <row r="92" spans="1:5" ht="12.75">
      <c r="A92" s="117" t="s">
        <v>204</v>
      </c>
      <c r="B92" s="118">
        <v>257500</v>
      </c>
      <c r="C92" s="126">
        <v>52206.6</v>
      </c>
      <c r="D92" s="119">
        <f t="shared" si="0"/>
        <v>20.27440776699029</v>
      </c>
      <c r="E92" s="120">
        <f t="shared" si="1"/>
        <v>-205293.4</v>
      </c>
    </row>
    <row r="93" spans="1:5" ht="18.75" customHeight="1">
      <c r="A93" s="16" t="s">
        <v>124</v>
      </c>
      <c r="B93" s="25">
        <f>SUM(B94,)</f>
        <v>5000</v>
      </c>
      <c r="C93" s="25">
        <f>SUM(C94,)</f>
        <v>5000</v>
      </c>
      <c r="D93" s="26">
        <f t="shared" si="0"/>
        <v>100</v>
      </c>
      <c r="E93" s="42">
        <f t="shared" si="1"/>
        <v>0</v>
      </c>
    </row>
    <row r="94" spans="1:5" ht="14.25" customHeight="1">
      <c r="A94" s="105" t="s">
        <v>43</v>
      </c>
      <c r="B94" s="114">
        <v>5000</v>
      </c>
      <c r="C94" s="116">
        <v>5000</v>
      </c>
      <c r="D94" s="112">
        <f t="shared" si="0"/>
        <v>100</v>
      </c>
      <c r="E94" s="113">
        <f t="shared" si="1"/>
        <v>0</v>
      </c>
    </row>
    <row r="95" spans="1:5" ht="22.5" customHeight="1">
      <c r="A95" s="173" t="s">
        <v>15</v>
      </c>
      <c r="B95" s="150">
        <f>SUM(B48,B56,B58,B60,B74,B87,B88,B93,)</f>
        <v>5164417.97</v>
      </c>
      <c r="C95" s="150">
        <f>SUM(C48,C56,C58,C60,C74,C87,C88,C93,)</f>
        <v>2279968.2399999998</v>
      </c>
      <c r="D95" s="141">
        <f>IF(B95=0,"   ",C95/B95*100)</f>
        <v>44.14763199346547</v>
      </c>
      <c r="E95" s="142">
        <f t="shared" si="1"/>
        <v>-2884449.73</v>
      </c>
    </row>
    <row r="96" spans="1:5" ht="18.75" customHeight="1">
      <c r="A96" s="80" t="s">
        <v>304</v>
      </c>
      <c r="B96" s="80"/>
      <c r="C96" s="309"/>
      <c r="D96" s="309"/>
      <c r="E96" s="309"/>
    </row>
    <row r="97" spans="1:5" ht="18" customHeight="1">
      <c r="A97" s="80" t="s">
        <v>154</v>
      </c>
      <c r="B97" s="80"/>
      <c r="C97" s="81" t="s">
        <v>247</v>
      </c>
      <c r="D97" s="82"/>
      <c r="E97" s="83"/>
    </row>
    <row r="98" spans="1:5" s="59" customFormat="1" ht="23.25" customHeight="1">
      <c r="A98" s="7"/>
      <c r="B98" s="7"/>
      <c r="C98" s="6"/>
      <c r="D98" s="7"/>
      <c r="E98" s="2"/>
    </row>
    <row r="99" spans="1:5" s="59" customFormat="1" ht="12" customHeight="1">
      <c r="A99" s="7"/>
      <c r="B99" s="7"/>
      <c r="C99" s="6"/>
      <c r="D99" s="7"/>
      <c r="E99" s="2"/>
    </row>
    <row r="100" spans="1:5" ht="12.75">
      <c r="A100" s="7"/>
      <c r="B100" s="7"/>
      <c r="C100" s="6"/>
      <c r="D100" s="7"/>
      <c r="E100" s="2"/>
    </row>
    <row r="101" spans="1:5" ht="12.75">
      <c r="A101" s="7"/>
      <c r="B101" s="7"/>
      <c r="C101" s="6"/>
      <c r="D101" s="7"/>
      <c r="E101" s="2"/>
    </row>
    <row r="102" spans="1:5" ht="12.75">
      <c r="A102" s="4"/>
      <c r="B102" s="4"/>
      <c r="C102" s="4"/>
      <c r="D102" s="4"/>
      <c r="E102" s="4"/>
    </row>
    <row r="103" spans="1:5" ht="12.75">
      <c r="A103" s="4"/>
      <c r="B103" s="4"/>
      <c r="C103" s="4"/>
      <c r="D103" s="4"/>
      <c r="E103" s="4"/>
    </row>
    <row r="104" spans="1:5" ht="12.75">
      <c r="A104" s="4"/>
      <c r="B104" s="4"/>
      <c r="C104" s="4"/>
      <c r="D104" s="4"/>
      <c r="E104" s="4"/>
    </row>
    <row r="105" spans="1:5" ht="12.75">
      <c r="A105" s="4"/>
      <c r="B105" s="4"/>
      <c r="C105" s="4"/>
      <c r="D105" s="4"/>
      <c r="E105" s="4"/>
    </row>
    <row r="106" spans="1:5" ht="12.75">
      <c r="A106" s="4"/>
      <c r="B106" s="4"/>
      <c r="C106" s="4"/>
      <c r="D106" s="4"/>
      <c r="E106" s="4"/>
    </row>
    <row r="107" spans="1:5" ht="12.75">
      <c r="A107" s="4"/>
      <c r="B107" s="4"/>
      <c r="C107" s="4"/>
      <c r="D107" s="4"/>
      <c r="E107" s="4"/>
    </row>
    <row r="108" spans="1:5" ht="12.75">
      <c r="A108" s="4"/>
      <c r="B108" s="4"/>
      <c r="C108" s="4"/>
      <c r="D108" s="4"/>
      <c r="E108" s="4"/>
    </row>
    <row r="109" spans="1:5" ht="12.75">
      <c r="A109" s="4"/>
      <c r="B109" s="4"/>
      <c r="C109" s="4"/>
      <c r="D109" s="4"/>
      <c r="E109" s="4"/>
    </row>
    <row r="110" spans="1:5" ht="12.75">
      <c r="A110" s="4"/>
      <c r="B110" s="4"/>
      <c r="C110" s="4"/>
      <c r="D110" s="4"/>
      <c r="E110" s="4"/>
    </row>
    <row r="111" spans="1:5" ht="12.75">
      <c r="A111" s="4"/>
      <c r="B111" s="4"/>
      <c r="C111" s="4"/>
      <c r="D111" s="4"/>
      <c r="E111" s="4"/>
    </row>
    <row r="112" spans="1:5" ht="12.75">
      <c r="A112" s="4"/>
      <c r="B112" s="4"/>
      <c r="C112" s="4"/>
      <c r="D112" s="4"/>
      <c r="E112" s="4"/>
    </row>
    <row r="113" spans="1:5" ht="12.75">
      <c r="A113" s="4"/>
      <c r="B113" s="4"/>
      <c r="C113" s="4"/>
      <c r="D113" s="4"/>
      <c r="E113" s="4"/>
    </row>
    <row r="114" spans="1:5" ht="12.75">
      <c r="A114" s="4"/>
      <c r="B114" s="4"/>
      <c r="C114" s="4"/>
      <c r="D114" s="4"/>
      <c r="E114" s="4"/>
    </row>
    <row r="115" spans="1:5" ht="12.75">
      <c r="A115" s="4"/>
      <c r="B115" s="4"/>
      <c r="C115" s="4"/>
      <c r="D115" s="4"/>
      <c r="E115" s="4"/>
    </row>
    <row r="116" spans="1:5" ht="12.75">
      <c r="A116" s="4"/>
      <c r="B116" s="4"/>
      <c r="C116" s="4"/>
      <c r="D116" s="4"/>
      <c r="E116" s="4"/>
    </row>
    <row r="117" spans="1:5" ht="12.75">
      <c r="A117" s="4"/>
      <c r="B117" s="4"/>
      <c r="C117" s="4"/>
      <c r="D117" s="4"/>
      <c r="E117" s="4"/>
    </row>
    <row r="118" spans="1:5" ht="12.75">
      <c r="A118" s="4"/>
      <c r="B118" s="4"/>
      <c r="C118" s="4"/>
      <c r="D118" s="4"/>
      <c r="E118" s="4"/>
    </row>
    <row r="119" spans="1:5" ht="12.75">
      <c r="A119" s="4"/>
      <c r="B119" s="4"/>
      <c r="C119" s="4"/>
      <c r="D119" s="4"/>
      <c r="E119" s="4"/>
    </row>
    <row r="120" spans="1:5" ht="12.75">
      <c r="A120" s="4"/>
      <c r="B120" s="4"/>
      <c r="C120" s="4"/>
      <c r="D120" s="4"/>
      <c r="E120" s="4"/>
    </row>
    <row r="121" spans="1:5" ht="12.75">
      <c r="A121" s="4"/>
      <c r="B121" s="4"/>
      <c r="C121" s="4"/>
      <c r="D121" s="4"/>
      <c r="E121" s="4"/>
    </row>
    <row r="122" spans="1:5" ht="12.75">
      <c r="A122" s="4"/>
      <c r="B122" s="4"/>
      <c r="C122" s="4"/>
      <c r="D122" s="4"/>
      <c r="E122" s="4"/>
    </row>
    <row r="123" spans="1:5" ht="12.75">
      <c r="A123" s="4"/>
      <c r="B123" s="4"/>
      <c r="C123" s="4"/>
      <c r="D123" s="4"/>
      <c r="E123" s="4"/>
    </row>
    <row r="124" spans="1:5" ht="12.75">
      <c r="A124" s="4"/>
      <c r="B124" s="4"/>
      <c r="C124" s="4"/>
      <c r="D124" s="4"/>
      <c r="E124" s="4"/>
    </row>
    <row r="125" spans="1:5" ht="12.75">
      <c r="A125" s="4"/>
      <c r="B125" s="4"/>
      <c r="C125" s="4"/>
      <c r="D125" s="4"/>
      <c r="E125" s="4"/>
    </row>
    <row r="126" spans="1:5" ht="12.75">
      <c r="A126" s="4"/>
      <c r="B126" s="4"/>
      <c r="C126" s="4"/>
      <c r="D126" s="4"/>
      <c r="E126" s="4"/>
    </row>
  </sheetData>
  <sheetProtection/>
  <mergeCells count="2">
    <mergeCell ref="A1:E1"/>
    <mergeCell ref="C96:E96"/>
  </mergeCells>
  <printOptions/>
  <pageMargins left="1.1811023622047245" right="0.7874015748031497" top="0.3937007874015748" bottom="0.3937007874015748" header="0.3937007874015748" footer="0.3937007874015748"/>
  <pageSetup fitToHeight="2" fitToWidth="1" horizontalDpi="600" verticalDpi="600" orientation="landscape" paperSize="9" scale="57" r:id="rId1"/>
  <rowBreaks count="1" manualBreakCount="1">
    <brk id="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0"/>
  <sheetViews>
    <sheetView zoomScalePageLayoutView="0" workbookViewId="0" topLeftCell="A28">
      <selection activeCell="C35" sqref="C35"/>
    </sheetView>
  </sheetViews>
  <sheetFormatPr defaultColWidth="9.00390625" defaultRowHeight="12.75"/>
  <cols>
    <col min="1" max="1" width="118.375" style="0" customWidth="1"/>
    <col min="2" max="2" width="15.125" style="0" customWidth="1"/>
    <col min="3" max="3" width="16.375" style="0" customWidth="1"/>
    <col min="4" max="4" width="15.875" style="0" customWidth="1"/>
    <col min="5" max="5" width="15.50390625" style="0" customWidth="1"/>
  </cols>
  <sheetData>
    <row r="1" spans="1:5" ht="17.25">
      <c r="A1" s="311" t="s">
        <v>316</v>
      </c>
      <c r="B1" s="311"/>
      <c r="C1" s="311"/>
      <c r="D1" s="311"/>
      <c r="E1" s="311"/>
    </row>
    <row r="2" spans="1:5" ht="12.75">
      <c r="A2" s="4"/>
      <c r="B2" s="4"/>
      <c r="C2" s="3"/>
      <c r="D2" s="3"/>
      <c r="E2" s="3"/>
    </row>
    <row r="3" spans="1:5" ht="1.5" customHeight="1" thickBot="1">
      <c r="A3" s="4"/>
      <c r="B3" s="4"/>
      <c r="C3" s="5"/>
      <c r="D3" s="4"/>
      <c r="E3" s="4" t="s">
        <v>0</v>
      </c>
    </row>
    <row r="4" spans="1:5" ht="85.5" customHeight="1">
      <c r="A4" s="34" t="s">
        <v>1</v>
      </c>
      <c r="B4" s="19" t="s">
        <v>251</v>
      </c>
      <c r="C4" s="32" t="s">
        <v>317</v>
      </c>
      <c r="D4" s="19" t="s">
        <v>252</v>
      </c>
      <c r="E4" s="36" t="s">
        <v>253</v>
      </c>
    </row>
    <row r="5" spans="1:5" ht="12.75">
      <c r="A5" s="13">
        <v>1</v>
      </c>
      <c r="B5" s="74">
        <v>2</v>
      </c>
      <c r="C5" s="10">
        <v>3</v>
      </c>
      <c r="D5" s="29">
        <v>4</v>
      </c>
      <c r="E5" s="14">
        <v>5</v>
      </c>
    </row>
    <row r="6" spans="1:5" ht="13.5" customHeight="1">
      <c r="A6" s="22" t="s">
        <v>2</v>
      </c>
      <c r="B6" s="11"/>
      <c r="C6" s="12"/>
      <c r="D6" s="25"/>
      <c r="E6" s="15"/>
    </row>
    <row r="7" spans="1:5" ht="15" customHeight="1">
      <c r="A7" s="17" t="s">
        <v>45</v>
      </c>
      <c r="B7" s="217">
        <f>SUM(B8)</f>
        <v>50200</v>
      </c>
      <c r="C7" s="218">
        <f>SUM(C8)</f>
        <v>37325.35</v>
      </c>
      <c r="D7" s="26">
        <f aca="true" t="shared" si="0" ref="D7:D93">IF(B7=0,"   ",C7/B7*100)</f>
        <v>74.35328685258963</v>
      </c>
      <c r="E7" s="42">
        <f aca="true" t="shared" si="1" ref="E7:E94">C7-B7</f>
        <v>-12874.650000000001</v>
      </c>
    </row>
    <row r="8" spans="1:5" ht="12.75" customHeight="1">
      <c r="A8" s="16" t="s">
        <v>44</v>
      </c>
      <c r="B8" s="219">
        <v>50200</v>
      </c>
      <c r="C8" s="239">
        <v>37325.35</v>
      </c>
      <c r="D8" s="26">
        <f t="shared" si="0"/>
        <v>74.35328685258963</v>
      </c>
      <c r="E8" s="42">
        <f t="shared" si="1"/>
        <v>-12874.650000000001</v>
      </c>
    </row>
    <row r="9" spans="1:5" ht="12.75" customHeight="1">
      <c r="A9" s="64" t="s">
        <v>137</v>
      </c>
      <c r="B9" s="217">
        <f>SUM(B10)</f>
        <v>729400</v>
      </c>
      <c r="C9" s="220">
        <f>SUM(C10)</f>
        <v>577013.57</v>
      </c>
      <c r="D9" s="26">
        <f t="shared" si="0"/>
        <v>79.10797504798464</v>
      </c>
      <c r="E9" s="42">
        <f t="shared" si="1"/>
        <v>-152386.43000000005</v>
      </c>
    </row>
    <row r="10" spans="1:5" ht="12.75" customHeight="1">
      <c r="A10" s="41" t="s">
        <v>138</v>
      </c>
      <c r="B10" s="219">
        <v>729400</v>
      </c>
      <c r="C10" s="239">
        <v>577013.57</v>
      </c>
      <c r="D10" s="26">
        <f t="shared" si="0"/>
        <v>79.10797504798464</v>
      </c>
      <c r="E10" s="42">
        <f t="shared" si="1"/>
        <v>-152386.43000000005</v>
      </c>
    </row>
    <row r="11" spans="1:5" ht="16.5" customHeight="1">
      <c r="A11" s="16" t="s">
        <v>7</v>
      </c>
      <c r="B11" s="219">
        <f>SUM(B12:B12)</f>
        <v>15000</v>
      </c>
      <c r="C11" s="221">
        <f>SUM(C12:C12)</f>
        <v>16125.19</v>
      </c>
      <c r="D11" s="26">
        <f t="shared" si="0"/>
        <v>107.50126666666667</v>
      </c>
      <c r="E11" s="42">
        <f t="shared" si="1"/>
        <v>1125.1900000000005</v>
      </c>
    </row>
    <row r="12" spans="1:5" ht="16.5" customHeight="1">
      <c r="A12" s="16" t="s">
        <v>26</v>
      </c>
      <c r="B12" s="219">
        <v>15000</v>
      </c>
      <c r="C12" s="239">
        <v>16125.19</v>
      </c>
      <c r="D12" s="26">
        <f t="shared" si="0"/>
        <v>107.50126666666667</v>
      </c>
      <c r="E12" s="42">
        <f t="shared" si="1"/>
        <v>1125.1900000000005</v>
      </c>
    </row>
    <row r="13" spans="1:5" ht="15.75" customHeight="1">
      <c r="A13" s="16" t="s">
        <v>9</v>
      </c>
      <c r="B13" s="219">
        <f>SUM(B14:B15)</f>
        <v>533000</v>
      </c>
      <c r="C13" s="221">
        <f>SUM(C14:C15)</f>
        <v>209849.73</v>
      </c>
      <c r="D13" s="26">
        <f t="shared" si="0"/>
        <v>39.37143151969981</v>
      </c>
      <c r="E13" s="42">
        <f t="shared" si="1"/>
        <v>-323150.27</v>
      </c>
    </row>
    <row r="14" spans="1:5" ht="15.75" customHeight="1">
      <c r="A14" s="16" t="s">
        <v>27</v>
      </c>
      <c r="B14" s="219">
        <v>222000</v>
      </c>
      <c r="C14" s="239">
        <v>43480.51</v>
      </c>
      <c r="D14" s="26">
        <f t="shared" si="0"/>
        <v>19.585815315315315</v>
      </c>
      <c r="E14" s="42">
        <f t="shared" si="1"/>
        <v>-178519.49</v>
      </c>
    </row>
    <row r="15" spans="1:5" ht="14.25" customHeight="1">
      <c r="A15" s="41" t="s">
        <v>160</v>
      </c>
      <c r="B15" s="204">
        <f>SUM(B16:B17)</f>
        <v>311000</v>
      </c>
      <c r="C15" s="221">
        <f>SUM(C16:C17)</f>
        <v>166369.22</v>
      </c>
      <c r="D15" s="26">
        <f t="shared" si="0"/>
        <v>53.49492604501608</v>
      </c>
      <c r="E15" s="42">
        <f t="shared" si="1"/>
        <v>-144630.78</v>
      </c>
    </row>
    <row r="16" spans="1:5" ht="14.25" customHeight="1">
      <c r="A16" s="41" t="s">
        <v>161</v>
      </c>
      <c r="B16" s="204">
        <v>63000</v>
      </c>
      <c r="C16" s="239">
        <v>47554.94</v>
      </c>
      <c r="D16" s="26">
        <f t="shared" si="0"/>
        <v>75.48403174603176</v>
      </c>
      <c r="E16" s="42">
        <f t="shared" si="1"/>
        <v>-15445.059999999998</v>
      </c>
    </row>
    <row r="17" spans="1:5" ht="14.25" customHeight="1">
      <c r="A17" s="41" t="s">
        <v>162</v>
      </c>
      <c r="B17" s="204">
        <v>248000</v>
      </c>
      <c r="C17" s="239">
        <v>118814.28</v>
      </c>
      <c r="D17" s="26">
        <f t="shared" si="0"/>
        <v>47.908983870967745</v>
      </c>
      <c r="E17" s="42">
        <f t="shared" si="1"/>
        <v>-129185.72</v>
      </c>
    </row>
    <row r="18" spans="1:5" ht="14.25" customHeight="1">
      <c r="A18" s="41" t="s">
        <v>196</v>
      </c>
      <c r="B18" s="204">
        <v>0</v>
      </c>
      <c r="C18" s="239">
        <v>1000</v>
      </c>
      <c r="D18" s="26" t="str">
        <f t="shared" si="0"/>
        <v>   </v>
      </c>
      <c r="E18" s="42">
        <f t="shared" si="1"/>
        <v>1000</v>
      </c>
    </row>
    <row r="19" spans="1:5" ht="15" customHeight="1">
      <c r="A19" s="16" t="s">
        <v>88</v>
      </c>
      <c r="B19" s="219">
        <v>0</v>
      </c>
      <c r="C19" s="221">
        <v>0</v>
      </c>
      <c r="D19" s="26" t="str">
        <f t="shared" si="0"/>
        <v>   </v>
      </c>
      <c r="E19" s="42">
        <f t="shared" si="1"/>
        <v>0</v>
      </c>
    </row>
    <row r="20" spans="1:5" ht="13.5" customHeight="1">
      <c r="A20" s="16" t="s">
        <v>28</v>
      </c>
      <c r="B20" s="219">
        <f>SUM(B21:B22)</f>
        <v>180400</v>
      </c>
      <c r="C20" s="221">
        <f>SUM(C21:C22)</f>
        <v>115145.01</v>
      </c>
      <c r="D20" s="26">
        <f t="shared" si="0"/>
        <v>63.82761086474501</v>
      </c>
      <c r="E20" s="42">
        <f t="shared" si="1"/>
        <v>-65254.990000000005</v>
      </c>
    </row>
    <row r="21" spans="1:5" ht="13.5" customHeight="1">
      <c r="A21" s="41" t="s">
        <v>152</v>
      </c>
      <c r="B21" s="219">
        <v>65700</v>
      </c>
      <c r="C21" s="239">
        <v>23265.86</v>
      </c>
      <c r="D21" s="26">
        <f t="shared" si="0"/>
        <v>35.41226788432268</v>
      </c>
      <c r="E21" s="42">
        <f t="shared" si="1"/>
        <v>-42434.14</v>
      </c>
    </row>
    <row r="22" spans="1:5" ht="15.75" customHeight="1">
      <c r="A22" s="16" t="s">
        <v>30</v>
      </c>
      <c r="B22" s="219">
        <v>114700</v>
      </c>
      <c r="C22" s="239">
        <v>91879.15</v>
      </c>
      <c r="D22" s="26">
        <f t="shared" si="0"/>
        <v>80.10387968613774</v>
      </c>
      <c r="E22" s="42">
        <f t="shared" si="1"/>
        <v>-22820.850000000006</v>
      </c>
    </row>
    <row r="23" spans="1:5" ht="17.25" customHeight="1">
      <c r="A23" s="39" t="s">
        <v>91</v>
      </c>
      <c r="B23" s="219">
        <v>5300</v>
      </c>
      <c r="C23" s="239">
        <v>5315.31</v>
      </c>
      <c r="D23" s="26">
        <f t="shared" si="0"/>
        <v>100.28886792452832</v>
      </c>
      <c r="E23" s="42">
        <f t="shared" si="1"/>
        <v>15.3100000000004</v>
      </c>
    </row>
    <row r="24" spans="1:5" ht="18.75" customHeight="1">
      <c r="A24" s="16" t="s">
        <v>78</v>
      </c>
      <c r="B24" s="219">
        <f>SUM(B25)</f>
        <v>0</v>
      </c>
      <c r="C24" s="221">
        <f>SUM(C25)</f>
        <v>0</v>
      </c>
      <c r="D24" s="26" t="str">
        <f t="shared" si="0"/>
        <v>   </v>
      </c>
      <c r="E24" s="42">
        <f t="shared" si="1"/>
        <v>0</v>
      </c>
    </row>
    <row r="25" spans="1:5" ht="22.5" customHeight="1">
      <c r="A25" s="16" t="s">
        <v>198</v>
      </c>
      <c r="B25" s="219">
        <v>0</v>
      </c>
      <c r="C25" s="241">
        <v>0</v>
      </c>
      <c r="D25" s="26" t="str">
        <f t="shared" si="0"/>
        <v>   </v>
      </c>
      <c r="E25" s="42">
        <f t="shared" si="1"/>
        <v>0</v>
      </c>
    </row>
    <row r="26" spans="1:5" ht="16.5" customHeight="1">
      <c r="A26" s="16" t="s">
        <v>32</v>
      </c>
      <c r="B26" s="219">
        <f>B27+B28</f>
        <v>0</v>
      </c>
      <c r="C26" s="221">
        <f>C27+C28</f>
        <v>0</v>
      </c>
      <c r="D26" s="26" t="str">
        <f t="shared" si="0"/>
        <v>   </v>
      </c>
      <c r="E26" s="42">
        <f t="shared" si="1"/>
        <v>0</v>
      </c>
    </row>
    <row r="27" spans="1:5" ht="13.5" customHeight="1">
      <c r="A27" s="16" t="s">
        <v>46</v>
      </c>
      <c r="B27" s="219">
        <v>0</v>
      </c>
      <c r="C27" s="222">
        <v>0</v>
      </c>
      <c r="D27" s="26" t="str">
        <f t="shared" si="0"/>
        <v>   </v>
      </c>
      <c r="E27" s="42">
        <f t="shared" si="1"/>
        <v>0</v>
      </c>
    </row>
    <row r="28" spans="1:5" ht="13.5" customHeight="1">
      <c r="A28" s="16" t="s">
        <v>20</v>
      </c>
      <c r="B28" s="219">
        <v>0</v>
      </c>
      <c r="C28" s="222">
        <v>0</v>
      </c>
      <c r="D28" s="26"/>
      <c r="E28" s="42">
        <f t="shared" si="1"/>
        <v>0</v>
      </c>
    </row>
    <row r="29" spans="1:5" ht="12" customHeight="1">
      <c r="A29" s="16" t="s">
        <v>31</v>
      </c>
      <c r="B29" s="219">
        <v>0</v>
      </c>
      <c r="C29" s="221">
        <v>0</v>
      </c>
      <c r="D29" s="26" t="str">
        <f t="shared" si="0"/>
        <v>   </v>
      </c>
      <c r="E29" s="42">
        <f t="shared" si="1"/>
        <v>0</v>
      </c>
    </row>
    <row r="30" spans="1:5" ht="21" customHeight="1">
      <c r="A30" s="173" t="s">
        <v>10</v>
      </c>
      <c r="B30" s="213">
        <f>SUM(B7,B9,B11,B13,B20,B23,B24,B26,B29,B18)</f>
        <v>1513300</v>
      </c>
      <c r="C30" s="213">
        <f>SUM(C7,C9,C11,C13,C20,C23,C24,C26,C29,C18)</f>
        <v>961774.1599999999</v>
      </c>
      <c r="D30" s="141">
        <f t="shared" si="0"/>
        <v>63.554758474856264</v>
      </c>
      <c r="E30" s="142">
        <f t="shared" si="1"/>
        <v>-551525.8400000001</v>
      </c>
    </row>
    <row r="31" spans="1:5" ht="21" customHeight="1">
      <c r="A31" s="190" t="s">
        <v>140</v>
      </c>
      <c r="B31" s="224">
        <f>SUM(B32:B35,B38:B42,B45)</f>
        <v>4916730.29</v>
      </c>
      <c r="C31" s="224">
        <f>SUM(C32:C35,C38:C42,C45)</f>
        <v>3664985.17</v>
      </c>
      <c r="D31" s="141">
        <f t="shared" si="0"/>
        <v>74.54110666704884</v>
      </c>
      <c r="E31" s="142">
        <f t="shared" si="1"/>
        <v>-1251745.12</v>
      </c>
    </row>
    <row r="32" spans="1:5" ht="18" customHeight="1">
      <c r="A32" s="17" t="s">
        <v>34</v>
      </c>
      <c r="B32" s="217">
        <v>1371200</v>
      </c>
      <c r="C32" s="242">
        <v>1140820</v>
      </c>
      <c r="D32" s="26">
        <f t="shared" si="0"/>
        <v>83.19865810968494</v>
      </c>
      <c r="E32" s="42">
        <f t="shared" si="1"/>
        <v>-230380</v>
      </c>
    </row>
    <row r="33" spans="1:5" ht="18" customHeight="1">
      <c r="A33" s="17" t="s">
        <v>229</v>
      </c>
      <c r="B33" s="217">
        <v>0</v>
      </c>
      <c r="C33" s="242">
        <v>0</v>
      </c>
      <c r="D33" s="136" t="str">
        <f>IF(B33=0,"   ",C33/B33*100)</f>
        <v>   </v>
      </c>
      <c r="E33" s="137">
        <f>C33-B33</f>
        <v>0</v>
      </c>
    </row>
    <row r="34" spans="1:5" ht="28.5" customHeight="1">
      <c r="A34" s="134" t="s">
        <v>51</v>
      </c>
      <c r="B34" s="135">
        <v>90400</v>
      </c>
      <c r="C34" s="244">
        <v>88900</v>
      </c>
      <c r="D34" s="136">
        <f t="shared" si="0"/>
        <v>98.34070796460178</v>
      </c>
      <c r="E34" s="137">
        <f t="shared" si="1"/>
        <v>-1500</v>
      </c>
    </row>
    <row r="35" spans="1:5" ht="30.75" customHeight="1">
      <c r="A35" s="109" t="s">
        <v>148</v>
      </c>
      <c r="B35" s="135">
        <f>SUM(B36:B37)</f>
        <v>6700</v>
      </c>
      <c r="C35" s="135">
        <f>SUM(C36:C37)</f>
        <v>100</v>
      </c>
      <c r="D35" s="136">
        <f t="shared" si="0"/>
        <v>1.4925373134328357</v>
      </c>
      <c r="E35" s="137">
        <f t="shared" si="1"/>
        <v>-6600</v>
      </c>
    </row>
    <row r="36" spans="1:5" ht="16.5" customHeight="1">
      <c r="A36" s="109" t="s">
        <v>163</v>
      </c>
      <c r="B36" s="225">
        <v>100</v>
      </c>
      <c r="C36" s="231">
        <v>100</v>
      </c>
      <c r="D36" s="136">
        <f aca="true" t="shared" si="2" ref="D36:D41">IF(B36=0,"   ",C36/B36*100)</f>
        <v>100</v>
      </c>
      <c r="E36" s="137">
        <f aca="true" t="shared" si="3" ref="E36:E41">C36-B36</f>
        <v>0</v>
      </c>
    </row>
    <row r="37" spans="1:5" ht="30.75" customHeight="1">
      <c r="A37" s="109" t="s">
        <v>164</v>
      </c>
      <c r="B37" s="135">
        <v>6600</v>
      </c>
      <c r="C37" s="138">
        <v>0</v>
      </c>
      <c r="D37" s="136">
        <f t="shared" si="2"/>
        <v>0</v>
      </c>
      <c r="E37" s="137">
        <f t="shared" si="3"/>
        <v>-6600</v>
      </c>
    </row>
    <row r="38" spans="1:5" ht="25.5" customHeight="1">
      <c r="A38" s="16" t="s">
        <v>305</v>
      </c>
      <c r="B38" s="225">
        <v>1098884.49</v>
      </c>
      <c r="C38" s="225">
        <v>1098884.49</v>
      </c>
      <c r="D38" s="136">
        <f t="shared" si="2"/>
        <v>100</v>
      </c>
      <c r="E38" s="137">
        <f t="shared" si="3"/>
        <v>0</v>
      </c>
    </row>
    <row r="39" spans="1:5" ht="25.5" customHeight="1">
      <c r="A39" s="16" t="s">
        <v>298</v>
      </c>
      <c r="B39" s="225">
        <v>900000</v>
      </c>
      <c r="C39" s="225">
        <v>0</v>
      </c>
      <c r="D39" s="136">
        <f t="shared" si="2"/>
        <v>0</v>
      </c>
      <c r="E39" s="137">
        <f t="shared" si="3"/>
        <v>-900000</v>
      </c>
    </row>
    <row r="40" spans="1:5" ht="51" customHeight="1">
      <c r="A40" s="16" t="s">
        <v>238</v>
      </c>
      <c r="B40" s="135">
        <v>706300</v>
      </c>
      <c r="C40" s="135">
        <v>706300</v>
      </c>
      <c r="D40" s="136">
        <f t="shared" si="2"/>
        <v>100</v>
      </c>
      <c r="E40" s="137">
        <f t="shared" si="3"/>
        <v>0</v>
      </c>
    </row>
    <row r="41" spans="1:5" ht="22.5" customHeight="1">
      <c r="A41" s="16" t="s">
        <v>279</v>
      </c>
      <c r="B41" s="135">
        <v>0</v>
      </c>
      <c r="C41" s="135">
        <v>0</v>
      </c>
      <c r="D41" s="136" t="str">
        <f t="shared" si="2"/>
        <v>   </v>
      </c>
      <c r="E41" s="137">
        <f t="shared" si="3"/>
        <v>0</v>
      </c>
    </row>
    <row r="42" spans="1:5" ht="15" customHeight="1">
      <c r="A42" s="16" t="s">
        <v>81</v>
      </c>
      <c r="B42" s="219">
        <f>B44+B43</f>
        <v>524700</v>
      </c>
      <c r="C42" s="219">
        <f>C44+C43</f>
        <v>411434.88</v>
      </c>
      <c r="D42" s="26">
        <f t="shared" si="0"/>
        <v>78.41335620354488</v>
      </c>
      <c r="E42" s="42">
        <f t="shared" si="1"/>
        <v>-113265.12</v>
      </c>
    </row>
    <row r="43" spans="1:5" ht="15" customHeight="1">
      <c r="A43" s="46" t="s">
        <v>188</v>
      </c>
      <c r="B43" s="219">
        <v>73600</v>
      </c>
      <c r="C43" s="219">
        <v>73590.88</v>
      </c>
      <c r="D43" s="26">
        <f t="shared" si="0"/>
        <v>99.98760869565217</v>
      </c>
      <c r="E43" s="42">
        <f t="shared" si="1"/>
        <v>-9.119999999995343</v>
      </c>
    </row>
    <row r="44" spans="1:5" s="7" customFormat="1" ht="15" customHeight="1">
      <c r="A44" s="46" t="s">
        <v>109</v>
      </c>
      <c r="B44" s="227">
        <v>451100</v>
      </c>
      <c r="C44" s="227">
        <v>337844</v>
      </c>
      <c r="D44" s="136">
        <f>IF(B44=0,"   ",C44/B44*100)</f>
        <v>74.89337175792508</v>
      </c>
      <c r="E44" s="137">
        <f>C44-B44</f>
        <v>-113256</v>
      </c>
    </row>
    <row r="45" spans="1:5" s="7" customFormat="1" ht="15" customHeight="1">
      <c r="A45" s="16" t="s">
        <v>199</v>
      </c>
      <c r="B45" s="227">
        <v>218545.8</v>
      </c>
      <c r="C45" s="227">
        <v>218545.8</v>
      </c>
      <c r="D45" s="47">
        <f t="shared" si="0"/>
        <v>100</v>
      </c>
      <c r="E45" s="40">
        <f t="shared" si="1"/>
        <v>0</v>
      </c>
    </row>
    <row r="46" spans="1:5" ht="21" customHeight="1">
      <c r="A46" s="173" t="s">
        <v>11</v>
      </c>
      <c r="B46" s="213">
        <f>SUM(B30:B31,)</f>
        <v>6430030.29</v>
      </c>
      <c r="C46" s="213">
        <f>SUM(C30:C31,)</f>
        <v>4626759.33</v>
      </c>
      <c r="D46" s="26">
        <f t="shared" si="0"/>
        <v>71.95548265449928</v>
      </c>
      <c r="E46" s="42">
        <f t="shared" si="1"/>
        <v>-1803270.96</v>
      </c>
    </row>
    <row r="47" spans="1:5" ht="12.75" customHeight="1">
      <c r="A47" s="22" t="s">
        <v>12</v>
      </c>
      <c r="B47" s="44"/>
      <c r="C47" s="45"/>
      <c r="D47" s="26" t="str">
        <f t="shared" si="0"/>
        <v>   </v>
      </c>
      <c r="E47" s="42">
        <f t="shared" si="1"/>
        <v>0</v>
      </c>
    </row>
    <row r="48" spans="1:5" ht="21" customHeight="1">
      <c r="A48" s="16" t="s">
        <v>35</v>
      </c>
      <c r="B48" s="25">
        <f>SUM(B49,B52,B53)</f>
        <v>1454900</v>
      </c>
      <c r="C48" s="25">
        <f>SUM(C49,C52,C53)</f>
        <v>1126013.49</v>
      </c>
      <c r="D48" s="26">
        <f t="shared" si="0"/>
        <v>77.39456251288749</v>
      </c>
      <c r="E48" s="42">
        <f t="shared" si="1"/>
        <v>-328886.51</v>
      </c>
    </row>
    <row r="49" spans="1:5" ht="15" customHeight="1">
      <c r="A49" s="16" t="s">
        <v>36</v>
      </c>
      <c r="B49" s="25">
        <v>1414900</v>
      </c>
      <c r="C49" s="25">
        <v>1086013.49</v>
      </c>
      <c r="D49" s="26">
        <f t="shared" si="0"/>
        <v>76.75549438122835</v>
      </c>
      <c r="E49" s="42">
        <f t="shared" si="1"/>
        <v>-328886.51</v>
      </c>
    </row>
    <row r="50" spans="1:5" ht="15" customHeight="1">
      <c r="A50" s="85" t="s">
        <v>121</v>
      </c>
      <c r="B50" s="25">
        <v>972995</v>
      </c>
      <c r="C50" s="28">
        <v>752941.22</v>
      </c>
      <c r="D50" s="26">
        <f t="shared" si="0"/>
        <v>77.38387350397484</v>
      </c>
      <c r="E50" s="42">
        <f t="shared" si="1"/>
        <v>-220053.78000000003</v>
      </c>
    </row>
    <row r="51" spans="1:5" ht="15" customHeight="1">
      <c r="A51" s="85" t="s">
        <v>288</v>
      </c>
      <c r="B51" s="25">
        <v>100</v>
      </c>
      <c r="C51" s="28">
        <v>100</v>
      </c>
      <c r="D51" s="26">
        <f>IF(B51=0,"   ",C51/B51*100)</f>
        <v>100</v>
      </c>
      <c r="E51" s="42">
        <f>C51-B51</f>
        <v>0</v>
      </c>
    </row>
    <row r="52" spans="1:5" ht="12.75" customHeight="1">
      <c r="A52" s="16" t="s">
        <v>95</v>
      </c>
      <c r="B52" s="25">
        <v>0</v>
      </c>
      <c r="C52" s="27">
        <v>0</v>
      </c>
      <c r="D52" s="26" t="str">
        <f t="shared" si="0"/>
        <v>   </v>
      </c>
      <c r="E52" s="42">
        <f t="shared" si="1"/>
        <v>0</v>
      </c>
    </row>
    <row r="53" spans="1:5" ht="12.75" customHeight="1">
      <c r="A53" s="41" t="s">
        <v>52</v>
      </c>
      <c r="B53" s="27">
        <f>SUM(B55+B54)</f>
        <v>40000</v>
      </c>
      <c r="C53" s="27">
        <f>SUM(C55+C54)</f>
        <v>40000</v>
      </c>
      <c r="D53" s="26">
        <f t="shared" si="0"/>
        <v>100</v>
      </c>
      <c r="E53" s="42">
        <f t="shared" si="1"/>
        <v>0</v>
      </c>
    </row>
    <row r="54" spans="1:5" ht="18.75" customHeight="1">
      <c r="A54" s="105" t="s">
        <v>236</v>
      </c>
      <c r="B54" s="27">
        <v>0</v>
      </c>
      <c r="C54" s="27">
        <v>0</v>
      </c>
      <c r="D54" s="26" t="str">
        <f>IF(B54=0,"   ",C54/B54*100)</f>
        <v>   </v>
      </c>
      <c r="E54" s="42">
        <f>C54-B54</f>
        <v>0</v>
      </c>
    </row>
    <row r="55" spans="1:5" ht="23.25" customHeight="1">
      <c r="A55" s="105" t="s">
        <v>248</v>
      </c>
      <c r="B55" s="25">
        <v>40000</v>
      </c>
      <c r="C55" s="27">
        <v>40000</v>
      </c>
      <c r="D55" s="26">
        <f t="shared" si="0"/>
        <v>100</v>
      </c>
      <c r="E55" s="42">
        <f t="shared" si="1"/>
        <v>0</v>
      </c>
    </row>
    <row r="56" spans="1:5" ht="21.75" customHeight="1">
      <c r="A56" s="16" t="s">
        <v>49</v>
      </c>
      <c r="B56" s="27">
        <f>SUM(B57)</f>
        <v>90400</v>
      </c>
      <c r="C56" s="27">
        <f>SUM(C57)</f>
        <v>75820.87</v>
      </c>
      <c r="D56" s="26">
        <f t="shared" si="0"/>
        <v>83.87264380530974</v>
      </c>
      <c r="E56" s="42">
        <f t="shared" si="1"/>
        <v>-14579.130000000005</v>
      </c>
    </row>
    <row r="57" spans="1:5" ht="13.5" customHeight="1">
      <c r="A57" s="39" t="s">
        <v>107</v>
      </c>
      <c r="B57" s="25">
        <v>90400</v>
      </c>
      <c r="C57" s="27">
        <v>75820.87</v>
      </c>
      <c r="D57" s="26">
        <f t="shared" si="0"/>
        <v>83.87264380530974</v>
      </c>
      <c r="E57" s="42">
        <f t="shared" si="1"/>
        <v>-14579.130000000005</v>
      </c>
    </row>
    <row r="58" spans="1:5" ht="16.5" customHeight="1">
      <c r="A58" s="16" t="s">
        <v>37</v>
      </c>
      <c r="B58" s="25">
        <f>SUM(B59)</f>
        <v>1000</v>
      </c>
      <c r="C58" s="27">
        <f>SUM(C59)</f>
        <v>1000</v>
      </c>
      <c r="D58" s="26">
        <f t="shared" si="0"/>
        <v>100</v>
      </c>
      <c r="E58" s="42">
        <f t="shared" si="1"/>
        <v>0</v>
      </c>
    </row>
    <row r="59" spans="1:5" ht="15" customHeight="1">
      <c r="A59" s="75" t="s">
        <v>128</v>
      </c>
      <c r="B59" s="25">
        <v>1000</v>
      </c>
      <c r="C59" s="27">
        <v>1000</v>
      </c>
      <c r="D59" s="26">
        <f t="shared" si="0"/>
        <v>100</v>
      </c>
      <c r="E59" s="42">
        <f t="shared" si="1"/>
        <v>0</v>
      </c>
    </row>
    <row r="60" spans="1:5" ht="18.75" customHeight="1">
      <c r="A60" s="16" t="s">
        <v>38</v>
      </c>
      <c r="B60" s="25">
        <f>SUM(B64,B61,B72)</f>
        <v>2077481.26</v>
      </c>
      <c r="C60" s="25">
        <f>SUM(C64,C61,C72)</f>
        <v>1562136.47</v>
      </c>
      <c r="D60" s="26">
        <f t="shared" si="0"/>
        <v>75.19376949758863</v>
      </c>
      <c r="E60" s="42">
        <f t="shared" si="1"/>
        <v>-515344.79000000004</v>
      </c>
    </row>
    <row r="61" spans="1:5" ht="18.75" customHeight="1">
      <c r="A61" s="75" t="s">
        <v>165</v>
      </c>
      <c r="B61" s="25">
        <f>SUM(B62+B63)</f>
        <v>6600</v>
      </c>
      <c r="C61" s="25">
        <f>SUM(C62+C63)</f>
        <v>0</v>
      </c>
      <c r="D61" s="26">
        <f>IF(B61=0,"   ",C61/B61*100)</f>
        <v>0</v>
      </c>
      <c r="E61" s="42">
        <f>C61-B61</f>
        <v>-6600</v>
      </c>
    </row>
    <row r="62" spans="1:5" ht="15" customHeight="1">
      <c r="A62" s="75" t="s">
        <v>166</v>
      </c>
      <c r="B62" s="25">
        <v>6600</v>
      </c>
      <c r="C62" s="25">
        <v>0</v>
      </c>
      <c r="D62" s="26">
        <f>IF(B62=0,"   ",C62/B62*100)</f>
        <v>0</v>
      </c>
      <c r="E62" s="42">
        <f>C62-B62</f>
        <v>-6600</v>
      </c>
    </row>
    <row r="63" spans="1:5" ht="15" customHeight="1">
      <c r="A63" s="75" t="s">
        <v>189</v>
      </c>
      <c r="B63" s="25">
        <v>0</v>
      </c>
      <c r="C63" s="25">
        <v>0</v>
      </c>
      <c r="D63" s="26" t="str">
        <f>IF(B63=0,"   ",C63/B63*100)</f>
        <v>   </v>
      </c>
      <c r="E63" s="42">
        <f>C63-B63</f>
        <v>0</v>
      </c>
    </row>
    <row r="64" spans="1:5" ht="13.5" customHeight="1">
      <c r="A64" s="16" t="s">
        <v>39</v>
      </c>
      <c r="B64" s="25">
        <f>SUM(B65:B71)</f>
        <v>2000881.26</v>
      </c>
      <c r="C64" s="25">
        <f>SUM(C65:C71)</f>
        <v>1531136.47</v>
      </c>
      <c r="D64" s="26">
        <f t="shared" si="0"/>
        <v>76.52310512418913</v>
      </c>
      <c r="E64" s="42">
        <f t="shared" si="1"/>
        <v>-469744.79000000004</v>
      </c>
    </row>
    <row r="65" spans="1:5" ht="17.25" customHeight="1">
      <c r="A65" s="75" t="s">
        <v>149</v>
      </c>
      <c r="B65" s="25">
        <v>200000</v>
      </c>
      <c r="C65" s="25">
        <v>191154.47</v>
      </c>
      <c r="D65" s="26">
        <f t="shared" si="0"/>
        <v>95.577235</v>
      </c>
      <c r="E65" s="42">
        <f t="shared" si="1"/>
        <v>-8845.529999999999</v>
      </c>
    </row>
    <row r="66" spans="1:5" ht="24" customHeight="1">
      <c r="A66" s="71" t="s">
        <v>257</v>
      </c>
      <c r="B66" s="25">
        <v>456081.26</v>
      </c>
      <c r="C66" s="25">
        <v>179800</v>
      </c>
      <c r="D66" s="26">
        <f t="shared" si="0"/>
        <v>39.42279934939664</v>
      </c>
      <c r="E66" s="42">
        <f t="shared" si="1"/>
        <v>-276281.26</v>
      </c>
    </row>
    <row r="67" spans="1:5" ht="24" customHeight="1">
      <c r="A67" s="71" t="s">
        <v>258</v>
      </c>
      <c r="B67" s="25">
        <v>58700</v>
      </c>
      <c r="C67" s="25">
        <v>0</v>
      </c>
      <c r="D67" s="26">
        <f t="shared" si="0"/>
        <v>0</v>
      </c>
      <c r="E67" s="42">
        <f t="shared" si="1"/>
        <v>-58700</v>
      </c>
    </row>
    <row r="68" spans="1:5" ht="24" customHeight="1">
      <c r="A68" s="71" t="s">
        <v>259</v>
      </c>
      <c r="B68" s="25">
        <v>706300</v>
      </c>
      <c r="C68" s="25">
        <v>706300</v>
      </c>
      <c r="D68" s="26">
        <f t="shared" si="0"/>
        <v>100</v>
      </c>
      <c r="E68" s="42">
        <f t="shared" si="1"/>
        <v>0</v>
      </c>
    </row>
    <row r="69" spans="1:5" ht="24" customHeight="1">
      <c r="A69" s="71" t="s">
        <v>260</v>
      </c>
      <c r="B69" s="25">
        <v>78500</v>
      </c>
      <c r="C69" s="25">
        <v>78500</v>
      </c>
      <c r="D69" s="26">
        <f t="shared" si="0"/>
        <v>100</v>
      </c>
      <c r="E69" s="42">
        <f t="shared" si="1"/>
        <v>0</v>
      </c>
    </row>
    <row r="70" spans="1:5" ht="24" customHeight="1">
      <c r="A70" s="71" t="s">
        <v>261</v>
      </c>
      <c r="B70" s="25">
        <v>451100</v>
      </c>
      <c r="C70" s="25">
        <v>337844</v>
      </c>
      <c r="D70" s="26">
        <f t="shared" si="0"/>
        <v>74.89337175792508</v>
      </c>
      <c r="E70" s="42">
        <f t="shared" si="1"/>
        <v>-113256</v>
      </c>
    </row>
    <row r="71" spans="1:5" ht="26.25" customHeight="1">
      <c r="A71" s="71" t="s">
        <v>262</v>
      </c>
      <c r="B71" s="25">
        <v>50200</v>
      </c>
      <c r="C71" s="25">
        <v>37538</v>
      </c>
      <c r="D71" s="26">
        <f t="shared" si="0"/>
        <v>74.77689243027889</v>
      </c>
      <c r="E71" s="42">
        <f t="shared" si="1"/>
        <v>-12662</v>
      </c>
    </row>
    <row r="72" spans="1:5" ht="26.25" customHeight="1">
      <c r="A72" s="96" t="s">
        <v>177</v>
      </c>
      <c r="B72" s="25">
        <f>B73</f>
        <v>70000</v>
      </c>
      <c r="C72" s="25">
        <f>C73</f>
        <v>31000</v>
      </c>
      <c r="D72" s="26">
        <f>IF(B72=0,"   ",C72/B72*100)</f>
        <v>44.285714285714285</v>
      </c>
      <c r="E72" s="42">
        <f>C72-B72</f>
        <v>-39000</v>
      </c>
    </row>
    <row r="73" spans="1:5" ht="26.25" customHeight="1">
      <c r="A73" s="75" t="s">
        <v>178</v>
      </c>
      <c r="B73" s="25">
        <v>70000</v>
      </c>
      <c r="C73" s="25">
        <v>31000</v>
      </c>
      <c r="D73" s="26">
        <f>IF(B73=0,"   ",C73/B73*100)</f>
        <v>44.285714285714285</v>
      </c>
      <c r="E73" s="42">
        <f>C73-B73</f>
        <v>-39000</v>
      </c>
    </row>
    <row r="74" spans="1:5" ht="20.25" customHeight="1">
      <c r="A74" s="16" t="s">
        <v>13</v>
      </c>
      <c r="B74" s="25">
        <f>B76+B75</f>
        <v>1219651.46</v>
      </c>
      <c r="C74" s="25">
        <f>C76+C75</f>
        <v>273973.76</v>
      </c>
      <c r="D74" s="26">
        <f t="shared" si="0"/>
        <v>22.463283075969915</v>
      </c>
      <c r="E74" s="42">
        <f t="shared" si="1"/>
        <v>-945677.7</v>
      </c>
    </row>
    <row r="75" spans="1:5" ht="20.25" customHeight="1">
      <c r="A75" s="41" t="s">
        <v>150</v>
      </c>
      <c r="B75" s="25">
        <v>0</v>
      </c>
      <c r="C75" s="25">
        <v>0</v>
      </c>
      <c r="D75" s="26" t="str">
        <f t="shared" si="0"/>
        <v>   </v>
      </c>
      <c r="E75" s="42">
        <f t="shared" si="1"/>
        <v>0</v>
      </c>
    </row>
    <row r="76" spans="1:5" ht="12.75" customHeight="1">
      <c r="A76" s="16" t="s">
        <v>99</v>
      </c>
      <c r="B76" s="25">
        <f>B77+B78+B83+B79</f>
        <v>1219651.46</v>
      </c>
      <c r="C76" s="25">
        <f>C77+C78+C83+C79</f>
        <v>273973.76</v>
      </c>
      <c r="D76" s="26">
        <f t="shared" si="0"/>
        <v>22.463283075969915</v>
      </c>
      <c r="E76" s="42">
        <f t="shared" si="1"/>
        <v>-945677.7</v>
      </c>
    </row>
    <row r="77" spans="1:5" ht="12.75" customHeight="1">
      <c r="A77" s="16" t="s">
        <v>100</v>
      </c>
      <c r="B77" s="25">
        <v>197000</v>
      </c>
      <c r="C77" s="25">
        <v>151322.3</v>
      </c>
      <c r="D77" s="26">
        <f t="shared" si="0"/>
        <v>76.8133502538071</v>
      </c>
      <c r="E77" s="42">
        <f t="shared" si="1"/>
        <v>-45677.70000000001</v>
      </c>
    </row>
    <row r="78" spans="1:5" ht="12.75" customHeight="1">
      <c r="A78" s="16" t="s">
        <v>61</v>
      </c>
      <c r="B78" s="25">
        <v>0</v>
      </c>
      <c r="C78" s="27">
        <v>0</v>
      </c>
      <c r="D78" s="26">
        <v>0</v>
      </c>
      <c r="E78" s="42">
        <f t="shared" si="1"/>
        <v>0</v>
      </c>
    </row>
    <row r="79" spans="1:5" ht="12.75" customHeight="1">
      <c r="A79" s="105" t="s">
        <v>208</v>
      </c>
      <c r="B79" s="25">
        <f>SUM(B80:B82)</f>
        <v>122651.46000000002</v>
      </c>
      <c r="C79" s="25">
        <f>SUM(C80:C82)</f>
        <v>122651.46000000002</v>
      </c>
      <c r="D79" s="26">
        <v>0</v>
      </c>
      <c r="E79" s="42">
        <f>C79-B79</f>
        <v>0</v>
      </c>
    </row>
    <row r="80" spans="1:5" ht="29.25" customHeight="1">
      <c r="A80" s="105" t="s">
        <v>209</v>
      </c>
      <c r="B80" s="25">
        <v>73590.88</v>
      </c>
      <c r="C80" s="27">
        <v>73590.88</v>
      </c>
      <c r="D80" s="26">
        <f t="shared" si="0"/>
        <v>100</v>
      </c>
      <c r="E80" s="27">
        <f t="shared" si="1"/>
        <v>0</v>
      </c>
    </row>
    <row r="81" spans="1:5" ht="25.5" customHeight="1">
      <c r="A81" s="105" t="s">
        <v>210</v>
      </c>
      <c r="B81" s="25">
        <v>24530.29</v>
      </c>
      <c r="C81" s="27">
        <v>24530.29</v>
      </c>
      <c r="D81" s="26">
        <f t="shared" si="0"/>
        <v>100</v>
      </c>
      <c r="E81" s="27">
        <f t="shared" si="1"/>
        <v>0</v>
      </c>
    </row>
    <row r="82" spans="1:5" ht="23.25" customHeight="1">
      <c r="A82" s="105" t="s">
        <v>211</v>
      </c>
      <c r="B82" s="25">
        <v>24530.29</v>
      </c>
      <c r="C82" s="27">
        <v>24530.29</v>
      </c>
      <c r="D82" s="26">
        <f t="shared" si="0"/>
        <v>100</v>
      </c>
      <c r="E82" s="27">
        <f t="shared" si="1"/>
        <v>0</v>
      </c>
    </row>
    <row r="83" spans="1:5" ht="19.5" customHeight="1">
      <c r="A83" s="105" t="s">
        <v>302</v>
      </c>
      <c r="B83" s="122">
        <v>900000</v>
      </c>
      <c r="C83" s="123">
        <v>0</v>
      </c>
      <c r="D83" s="26">
        <f t="shared" si="0"/>
        <v>0</v>
      </c>
      <c r="E83" s="125">
        <f t="shared" si="1"/>
        <v>-900000</v>
      </c>
    </row>
    <row r="84" spans="1:5" ht="20.25" customHeight="1">
      <c r="A84" s="35" t="s">
        <v>17</v>
      </c>
      <c r="B84" s="31">
        <v>0</v>
      </c>
      <c r="C84" s="31">
        <v>0</v>
      </c>
      <c r="D84" s="26" t="str">
        <f t="shared" si="0"/>
        <v>   </v>
      </c>
      <c r="E84" s="42">
        <f t="shared" si="1"/>
        <v>0</v>
      </c>
    </row>
    <row r="85" spans="1:5" ht="18" customHeight="1">
      <c r="A85" s="16" t="s">
        <v>41</v>
      </c>
      <c r="B85" s="24">
        <f>B86</f>
        <v>429635</v>
      </c>
      <c r="C85" s="24">
        <f>C86</f>
        <v>162480</v>
      </c>
      <c r="D85" s="26">
        <f t="shared" si="0"/>
        <v>37.81814796280564</v>
      </c>
      <c r="E85" s="42">
        <f t="shared" si="1"/>
        <v>-267155</v>
      </c>
    </row>
    <row r="86" spans="1:5" ht="12.75" customHeight="1">
      <c r="A86" s="16" t="s">
        <v>42</v>
      </c>
      <c r="B86" s="25">
        <v>429635</v>
      </c>
      <c r="C86" s="27">
        <v>162480</v>
      </c>
      <c r="D86" s="26">
        <f t="shared" si="0"/>
        <v>37.81814796280564</v>
      </c>
      <c r="E86" s="42">
        <f t="shared" si="1"/>
        <v>-267155</v>
      </c>
    </row>
    <row r="87" spans="1:5" ht="16.5" customHeight="1">
      <c r="A87" s="16" t="s">
        <v>124</v>
      </c>
      <c r="B87" s="25">
        <f>SUM(B88:B89)</f>
        <v>1292900</v>
      </c>
      <c r="C87" s="25">
        <f>SUM(C88:C89)</f>
        <v>1292900</v>
      </c>
      <c r="D87" s="26">
        <f t="shared" si="0"/>
        <v>100</v>
      </c>
      <c r="E87" s="42">
        <f t="shared" si="1"/>
        <v>0</v>
      </c>
    </row>
    <row r="88" spans="1:5" ht="16.5" customHeight="1">
      <c r="A88" s="16" t="s">
        <v>43</v>
      </c>
      <c r="B88" s="25">
        <v>0</v>
      </c>
      <c r="C88" s="25">
        <v>0</v>
      </c>
      <c r="D88" s="26" t="str">
        <f>IF(B88=0,"   ",C88/B88*100)</f>
        <v>   </v>
      </c>
      <c r="E88" s="42">
        <f>C88-B88</f>
        <v>0</v>
      </c>
    </row>
    <row r="89" spans="1:5" ht="18.75" customHeight="1">
      <c r="A89" s="292" t="s">
        <v>274</v>
      </c>
      <c r="B89" s="25">
        <f>SUM(B90:B93)</f>
        <v>1292900</v>
      </c>
      <c r="C89" s="25">
        <f>SUM(C90:C93)</f>
        <v>1292900</v>
      </c>
      <c r="D89" s="26">
        <f>IF(B89=0,"   ",C89/B89*100)</f>
        <v>100</v>
      </c>
      <c r="E89" s="42">
        <f>C89-B89</f>
        <v>0</v>
      </c>
    </row>
    <row r="90" spans="1:5" ht="16.5" customHeight="1">
      <c r="A90" s="292" t="s">
        <v>275</v>
      </c>
      <c r="B90" s="25">
        <v>895910.94</v>
      </c>
      <c r="C90" s="25">
        <v>895910.94</v>
      </c>
      <c r="D90" s="26">
        <f>IF(B90=0,"   ",C90/B90*100)</f>
        <v>100</v>
      </c>
      <c r="E90" s="42">
        <f>C90-B90</f>
        <v>0</v>
      </c>
    </row>
    <row r="91" spans="1:5" ht="18" customHeight="1">
      <c r="A91" s="292" t="s">
        <v>276</v>
      </c>
      <c r="B91" s="25">
        <v>9049.6</v>
      </c>
      <c r="C91" s="25">
        <v>9049.6</v>
      </c>
      <c r="D91" s="26">
        <f>IF(B91=0,"   ",C91/B91*100)</f>
        <v>100</v>
      </c>
      <c r="E91" s="42">
        <f>C91-B91</f>
        <v>0</v>
      </c>
    </row>
    <row r="92" spans="1:5" ht="15.75" customHeight="1">
      <c r="A92" s="292" t="s">
        <v>277</v>
      </c>
      <c r="B92" s="25">
        <v>193923.95</v>
      </c>
      <c r="C92" s="25">
        <v>193923.95</v>
      </c>
      <c r="D92" s="26">
        <f>IF(B92=0,"   ",C92/B92*100)</f>
        <v>100</v>
      </c>
      <c r="E92" s="42">
        <f>C92-B92</f>
        <v>0</v>
      </c>
    </row>
    <row r="93" spans="1:5" ht="12.75" customHeight="1">
      <c r="A93" s="292" t="s">
        <v>278</v>
      </c>
      <c r="B93" s="25">
        <v>194015.51</v>
      </c>
      <c r="C93" s="28">
        <v>194015.51</v>
      </c>
      <c r="D93" s="26">
        <f t="shared" si="0"/>
        <v>100</v>
      </c>
      <c r="E93" s="42">
        <f t="shared" si="1"/>
        <v>0</v>
      </c>
    </row>
    <row r="94" spans="1:5" ht="22.5" customHeight="1">
      <c r="A94" s="173" t="s">
        <v>15</v>
      </c>
      <c r="B94" s="150">
        <f>SUM(B48,B56,B58,B60,B74,B84,B85,B87,)</f>
        <v>6565967.72</v>
      </c>
      <c r="C94" s="150">
        <f>SUM(C48,C56,C58,C60,C74,C84,C85,C87,)</f>
        <v>4494324.59</v>
      </c>
      <c r="D94" s="141">
        <f>IF(B94=0,"   ",C94/B94*100)</f>
        <v>68.44877680879003</v>
      </c>
      <c r="E94" s="142">
        <f t="shared" si="1"/>
        <v>-2071643.13</v>
      </c>
    </row>
    <row r="95" spans="1:5" s="59" customFormat="1" ht="23.25" customHeight="1">
      <c r="A95" s="80" t="s">
        <v>304</v>
      </c>
      <c r="B95" s="80"/>
      <c r="C95" s="309"/>
      <c r="D95" s="309"/>
      <c r="E95" s="309"/>
    </row>
    <row r="96" spans="1:5" s="59" customFormat="1" ht="18" customHeight="1">
      <c r="A96" s="80" t="s">
        <v>154</v>
      </c>
      <c r="B96" s="80"/>
      <c r="C96" s="312" t="s">
        <v>247</v>
      </c>
      <c r="D96" s="312"/>
      <c r="E96" s="83"/>
    </row>
    <row r="97" spans="1:5" ht="12.75">
      <c r="A97" s="7"/>
      <c r="B97" s="7"/>
      <c r="C97" s="6"/>
      <c r="D97" s="7"/>
      <c r="E97" s="2"/>
    </row>
    <row r="98" spans="1:5" ht="12.75">
      <c r="A98" s="7"/>
      <c r="B98" s="7"/>
      <c r="C98" s="6"/>
      <c r="D98" s="7"/>
      <c r="E98" s="2"/>
    </row>
    <row r="99" spans="1:5" ht="12.75">
      <c r="A99" s="7"/>
      <c r="B99" s="7"/>
      <c r="C99" s="6"/>
      <c r="D99" s="7"/>
      <c r="E99" s="2"/>
    </row>
    <row r="100" spans="1:5" ht="12.75">
      <c r="A100" s="7"/>
      <c r="B100" s="7"/>
      <c r="C100" s="6"/>
      <c r="D100" s="7"/>
      <c r="E100" s="2"/>
    </row>
  </sheetData>
  <sheetProtection/>
  <mergeCells count="3">
    <mergeCell ref="A1:E1"/>
    <mergeCell ref="C95:E95"/>
    <mergeCell ref="C96:D96"/>
  </mergeCells>
  <printOptions/>
  <pageMargins left="0.984251968503937" right="0.5905511811023623" top="0.5118110236220472" bottom="0.5118110236220472" header="0.5118110236220472" footer="0.5118110236220472"/>
  <pageSetup fitToHeight="2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6"/>
  <sheetViews>
    <sheetView zoomScalePageLayoutView="0" workbookViewId="0" topLeftCell="A29">
      <selection activeCell="C34" sqref="C34"/>
    </sheetView>
  </sheetViews>
  <sheetFormatPr defaultColWidth="9.00390625" defaultRowHeight="12.75"/>
  <cols>
    <col min="1" max="1" width="107.625" style="0" customWidth="1"/>
    <col min="2" max="2" width="14.50390625" style="0" customWidth="1"/>
    <col min="3" max="3" width="16.875" style="0" customWidth="1"/>
    <col min="4" max="4" width="18.00390625" style="0" customWidth="1"/>
    <col min="5" max="5" width="16.375" style="0" customWidth="1"/>
  </cols>
  <sheetData>
    <row r="1" spans="1:5" ht="17.25">
      <c r="A1" s="311" t="s">
        <v>318</v>
      </c>
      <c r="B1" s="311"/>
      <c r="C1" s="311"/>
      <c r="D1" s="311"/>
      <c r="E1" s="311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62.25" customHeight="1">
      <c r="A4" s="34" t="s">
        <v>1</v>
      </c>
      <c r="B4" s="19" t="s">
        <v>251</v>
      </c>
      <c r="C4" s="32" t="s">
        <v>317</v>
      </c>
      <c r="D4" s="19" t="s">
        <v>255</v>
      </c>
      <c r="E4" s="36" t="s">
        <v>253</v>
      </c>
    </row>
    <row r="5" spans="1:5" ht="12.75">
      <c r="A5" s="13">
        <v>1</v>
      </c>
      <c r="B5" s="74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51" t="s">
        <v>45</v>
      </c>
      <c r="B7" s="149">
        <f>SUM(B8)</f>
        <v>56700</v>
      </c>
      <c r="C7" s="149">
        <f>SUM(C8)</f>
        <v>53732.48</v>
      </c>
      <c r="D7" s="139">
        <f aca="true" t="shared" si="0" ref="D7:D95">IF(B7=0,"   ",C7/B7*100)</f>
        <v>94.766278659612</v>
      </c>
      <c r="E7" s="140">
        <f aca="true" t="shared" si="1" ref="E7:E96">C7-B7</f>
        <v>-2967.519999999997</v>
      </c>
    </row>
    <row r="8" spans="1:5" ht="12" customHeight="1">
      <c r="A8" s="85" t="s">
        <v>44</v>
      </c>
      <c r="B8" s="84">
        <v>56700</v>
      </c>
      <c r="C8" s="243">
        <v>53732.48</v>
      </c>
      <c r="D8" s="139">
        <f t="shared" si="0"/>
        <v>94.766278659612</v>
      </c>
      <c r="E8" s="140">
        <f t="shared" si="1"/>
        <v>-2967.519999999997</v>
      </c>
    </row>
    <row r="9" spans="1:5" ht="16.5" customHeight="1">
      <c r="A9" s="151" t="s">
        <v>137</v>
      </c>
      <c r="B9" s="200">
        <f>SUM(B10)</f>
        <v>1082700</v>
      </c>
      <c r="C9" s="200">
        <f>SUM(C10)</f>
        <v>856473.03</v>
      </c>
      <c r="D9" s="139">
        <f t="shared" si="0"/>
        <v>79.10529509559436</v>
      </c>
      <c r="E9" s="140">
        <f t="shared" si="1"/>
        <v>-226226.96999999997</v>
      </c>
    </row>
    <row r="10" spans="1:5" ht="11.25" customHeight="1">
      <c r="A10" s="85" t="s">
        <v>138</v>
      </c>
      <c r="B10" s="201">
        <v>1082700</v>
      </c>
      <c r="C10" s="243">
        <v>856473.03</v>
      </c>
      <c r="D10" s="139">
        <f t="shared" si="0"/>
        <v>79.10529509559436</v>
      </c>
      <c r="E10" s="140">
        <f t="shared" si="1"/>
        <v>-226226.96999999997</v>
      </c>
    </row>
    <row r="11" spans="1:5" ht="12.75">
      <c r="A11" s="85" t="s">
        <v>7</v>
      </c>
      <c r="B11" s="201">
        <f>SUM(B12:B12)</f>
        <v>56400</v>
      </c>
      <c r="C11" s="201">
        <f>SUM(C12:C12)</f>
        <v>36331.78</v>
      </c>
      <c r="D11" s="139">
        <f t="shared" si="0"/>
        <v>64.41804964539007</v>
      </c>
      <c r="E11" s="140">
        <f t="shared" si="1"/>
        <v>-20068.22</v>
      </c>
    </row>
    <row r="12" spans="1:5" ht="16.5" customHeight="1">
      <c r="A12" s="85" t="s">
        <v>26</v>
      </c>
      <c r="B12" s="201">
        <v>56400</v>
      </c>
      <c r="C12" s="243">
        <v>36331.78</v>
      </c>
      <c r="D12" s="139">
        <f t="shared" si="0"/>
        <v>64.41804964539007</v>
      </c>
      <c r="E12" s="140">
        <f t="shared" si="1"/>
        <v>-20068.22</v>
      </c>
    </row>
    <row r="13" spans="1:5" ht="16.5" customHeight="1">
      <c r="A13" s="85" t="s">
        <v>9</v>
      </c>
      <c r="B13" s="201">
        <f>SUM(B14:B15)</f>
        <v>412000</v>
      </c>
      <c r="C13" s="201">
        <f>SUM(C14:C15)</f>
        <v>135824.74</v>
      </c>
      <c r="D13" s="139">
        <f t="shared" si="0"/>
        <v>32.967169902912616</v>
      </c>
      <c r="E13" s="140">
        <f t="shared" si="1"/>
        <v>-276175.26</v>
      </c>
    </row>
    <row r="14" spans="1:5" ht="15" customHeight="1">
      <c r="A14" s="85" t="s">
        <v>27</v>
      </c>
      <c r="B14" s="201">
        <v>177000</v>
      </c>
      <c r="C14" s="243">
        <v>45035.66</v>
      </c>
      <c r="D14" s="139">
        <f t="shared" si="0"/>
        <v>25.44387570621469</v>
      </c>
      <c r="E14" s="140">
        <f t="shared" si="1"/>
        <v>-131964.34</v>
      </c>
    </row>
    <row r="15" spans="1:5" ht="15.75" customHeight="1">
      <c r="A15" s="41" t="s">
        <v>160</v>
      </c>
      <c r="B15" s="201">
        <f>SUM(B16:B17)</f>
        <v>235000</v>
      </c>
      <c r="C15" s="201">
        <f>SUM(C16:C17)</f>
        <v>90789.08</v>
      </c>
      <c r="D15" s="139">
        <f t="shared" si="0"/>
        <v>38.63365106382979</v>
      </c>
      <c r="E15" s="140">
        <f t="shared" si="1"/>
        <v>-144210.91999999998</v>
      </c>
    </row>
    <row r="16" spans="1:5" ht="14.25" customHeight="1">
      <c r="A16" s="41" t="s">
        <v>161</v>
      </c>
      <c r="B16" s="201">
        <v>29000</v>
      </c>
      <c r="C16" s="243">
        <v>17465.63</v>
      </c>
      <c r="D16" s="139">
        <f t="shared" si="0"/>
        <v>60.226310344827596</v>
      </c>
      <c r="E16" s="140">
        <f t="shared" si="1"/>
        <v>-11534.369999999999</v>
      </c>
    </row>
    <row r="17" spans="1:5" ht="12.75" customHeight="1">
      <c r="A17" s="41" t="s">
        <v>162</v>
      </c>
      <c r="B17" s="201">
        <v>206000</v>
      </c>
      <c r="C17" s="243">
        <v>73323.45</v>
      </c>
      <c r="D17" s="139">
        <f t="shared" si="0"/>
        <v>35.59390776699029</v>
      </c>
      <c r="E17" s="140">
        <f t="shared" si="1"/>
        <v>-132676.55</v>
      </c>
    </row>
    <row r="18" spans="1:5" ht="12.75" customHeight="1">
      <c r="A18" s="41" t="s">
        <v>196</v>
      </c>
      <c r="B18" s="201">
        <v>0</v>
      </c>
      <c r="C18" s="243">
        <v>1600</v>
      </c>
      <c r="D18" s="139" t="str">
        <f t="shared" si="0"/>
        <v>   </v>
      </c>
      <c r="E18" s="140">
        <f t="shared" si="1"/>
        <v>1600</v>
      </c>
    </row>
    <row r="19" spans="1:5" ht="13.5" customHeight="1">
      <c r="A19" s="85" t="s">
        <v>88</v>
      </c>
      <c r="B19" s="201">
        <v>0</v>
      </c>
      <c r="C19" s="202">
        <v>0</v>
      </c>
      <c r="D19" s="139" t="str">
        <f t="shared" si="0"/>
        <v>   </v>
      </c>
      <c r="E19" s="140">
        <f t="shared" si="1"/>
        <v>0</v>
      </c>
    </row>
    <row r="20" spans="1:5" ht="24.75" customHeight="1">
      <c r="A20" s="85" t="s">
        <v>28</v>
      </c>
      <c r="B20" s="201">
        <f>B21+B22</f>
        <v>39600</v>
      </c>
      <c r="C20" s="201">
        <f>SUM(C21:C22)</f>
        <v>52768.76</v>
      </c>
      <c r="D20" s="139">
        <f t="shared" si="0"/>
        <v>133.25444444444446</v>
      </c>
      <c r="E20" s="140">
        <f t="shared" si="1"/>
        <v>13168.760000000002</v>
      </c>
    </row>
    <row r="21" spans="1:5" ht="14.25" customHeight="1">
      <c r="A21" s="41" t="s">
        <v>152</v>
      </c>
      <c r="B21" s="201">
        <v>39600</v>
      </c>
      <c r="C21" s="201">
        <v>52768.76</v>
      </c>
      <c r="D21" s="139">
        <f t="shared" si="0"/>
        <v>133.25444444444446</v>
      </c>
      <c r="E21" s="140">
        <f t="shared" si="1"/>
        <v>13168.760000000002</v>
      </c>
    </row>
    <row r="22" spans="1:5" ht="12" customHeight="1">
      <c r="A22" s="85" t="s">
        <v>30</v>
      </c>
      <c r="B22" s="201">
        <v>0</v>
      </c>
      <c r="C22" s="202">
        <v>0</v>
      </c>
      <c r="D22" s="139" t="str">
        <f t="shared" si="0"/>
        <v>   </v>
      </c>
      <c r="E22" s="140">
        <f t="shared" si="1"/>
        <v>0</v>
      </c>
    </row>
    <row r="23" spans="1:5" ht="12.75" customHeight="1">
      <c r="A23" s="85" t="s">
        <v>83</v>
      </c>
      <c r="B23" s="201">
        <v>0</v>
      </c>
      <c r="C23" s="202">
        <v>0</v>
      </c>
      <c r="D23" s="139" t="str">
        <f t="shared" si="0"/>
        <v>   </v>
      </c>
      <c r="E23" s="140">
        <f t="shared" si="1"/>
        <v>0</v>
      </c>
    </row>
    <row r="24" spans="1:5" ht="13.5" customHeight="1">
      <c r="A24" s="85" t="s">
        <v>78</v>
      </c>
      <c r="B24" s="201">
        <f>SUM(B25:B25)</f>
        <v>0</v>
      </c>
      <c r="C24" s="201">
        <f>SUM(C25:C25)</f>
        <v>0</v>
      </c>
      <c r="D24" s="139" t="str">
        <f t="shared" si="0"/>
        <v>   </v>
      </c>
      <c r="E24" s="140">
        <f t="shared" si="1"/>
        <v>0</v>
      </c>
    </row>
    <row r="25" spans="1:5" ht="13.5" customHeight="1">
      <c r="A25" s="85" t="s">
        <v>125</v>
      </c>
      <c r="B25" s="201">
        <v>0</v>
      </c>
      <c r="C25" s="201"/>
      <c r="D25" s="139" t="str">
        <f t="shared" si="0"/>
        <v>   </v>
      </c>
      <c r="E25" s="140"/>
    </row>
    <row r="26" spans="1:5" ht="12.75">
      <c r="A26" s="85" t="s">
        <v>32</v>
      </c>
      <c r="B26" s="201">
        <f>B27</f>
        <v>0</v>
      </c>
      <c r="C26" s="201">
        <f>C27</f>
        <v>-17.58</v>
      </c>
      <c r="D26" s="139" t="str">
        <f t="shared" si="0"/>
        <v>   </v>
      </c>
      <c r="E26" s="140">
        <f t="shared" si="1"/>
        <v>-17.58</v>
      </c>
    </row>
    <row r="27" spans="1:5" ht="12.75">
      <c r="A27" s="16" t="s">
        <v>46</v>
      </c>
      <c r="B27" s="201">
        <v>0</v>
      </c>
      <c r="C27" s="201">
        <v>-17.58</v>
      </c>
      <c r="D27" s="139" t="str">
        <f t="shared" si="0"/>
        <v>   </v>
      </c>
      <c r="E27" s="140">
        <f t="shared" si="1"/>
        <v>-17.58</v>
      </c>
    </row>
    <row r="28" spans="1:5" ht="12.75">
      <c r="A28" s="85" t="s">
        <v>31</v>
      </c>
      <c r="B28" s="201">
        <v>0</v>
      </c>
      <c r="C28" s="201">
        <v>0</v>
      </c>
      <c r="D28" s="139" t="str">
        <f t="shared" si="0"/>
        <v>   </v>
      </c>
      <c r="E28" s="140">
        <f t="shared" si="1"/>
        <v>0</v>
      </c>
    </row>
    <row r="29" spans="1:5" ht="18" customHeight="1">
      <c r="A29" s="157" t="s">
        <v>10</v>
      </c>
      <c r="B29" s="175">
        <f>B7+B9+B11+B13+B19+B20+B24+B26+B28+B18</f>
        <v>1647400</v>
      </c>
      <c r="C29" s="175">
        <f>C7+C9+C11+C13+C19+C20+C24+C26+C28+C18</f>
        <v>1136713.21</v>
      </c>
      <c r="D29" s="141">
        <f t="shared" si="0"/>
        <v>69.000437659342</v>
      </c>
      <c r="E29" s="142">
        <f t="shared" si="1"/>
        <v>-510686.79000000004</v>
      </c>
    </row>
    <row r="30" spans="1:5" ht="18" customHeight="1">
      <c r="A30" s="158" t="s">
        <v>140</v>
      </c>
      <c r="B30" s="189">
        <f>SUM(B31:B34,B37,B38,B42,B43,B44)</f>
        <v>7372937.9</v>
      </c>
      <c r="C30" s="189">
        <f>SUM(C31:C34,C37,C38,C42,C43,C44)</f>
        <v>3848275</v>
      </c>
      <c r="D30" s="141">
        <f t="shared" si="0"/>
        <v>52.19459396233353</v>
      </c>
      <c r="E30" s="142">
        <f t="shared" si="1"/>
        <v>-3524662.9000000004</v>
      </c>
    </row>
    <row r="31" spans="1:5" ht="16.5" customHeight="1">
      <c r="A31" s="159" t="s">
        <v>34</v>
      </c>
      <c r="B31" s="160">
        <v>3082600</v>
      </c>
      <c r="C31" s="243">
        <v>2564700</v>
      </c>
      <c r="D31" s="154">
        <f t="shared" si="0"/>
        <v>83.19924738856808</v>
      </c>
      <c r="E31" s="155">
        <f t="shared" si="1"/>
        <v>-517900</v>
      </c>
    </row>
    <row r="32" spans="1:5" ht="16.5" customHeight="1">
      <c r="A32" s="17" t="s">
        <v>229</v>
      </c>
      <c r="B32" s="160">
        <v>0</v>
      </c>
      <c r="C32" s="243">
        <v>0</v>
      </c>
      <c r="D32" s="154" t="str">
        <f>IF(B32=0,"   ",C32/B32*100)</f>
        <v>   </v>
      </c>
      <c r="E32" s="155">
        <f>C32-B32</f>
        <v>0</v>
      </c>
    </row>
    <row r="33" spans="1:5" ht="27" customHeight="1">
      <c r="A33" s="156" t="s">
        <v>51</v>
      </c>
      <c r="B33" s="201">
        <v>90300</v>
      </c>
      <c r="C33" s="243">
        <v>90300</v>
      </c>
      <c r="D33" s="154">
        <f t="shared" si="0"/>
        <v>100</v>
      </c>
      <c r="E33" s="155">
        <f t="shared" si="1"/>
        <v>0</v>
      </c>
    </row>
    <row r="34" spans="1:5" ht="27" customHeight="1">
      <c r="A34" s="156" t="s">
        <v>148</v>
      </c>
      <c r="B34" s="201">
        <f>SUM(B35:B36)</f>
        <v>6700</v>
      </c>
      <c r="C34" s="201">
        <f>SUM(C35:C36)</f>
        <v>100</v>
      </c>
      <c r="D34" s="154">
        <f t="shared" si="0"/>
        <v>1.4925373134328357</v>
      </c>
      <c r="E34" s="155">
        <f t="shared" si="1"/>
        <v>-6600</v>
      </c>
    </row>
    <row r="35" spans="1:5" ht="17.25" customHeight="1">
      <c r="A35" s="109" t="s">
        <v>163</v>
      </c>
      <c r="B35" s="201">
        <v>100</v>
      </c>
      <c r="C35" s="201">
        <v>100</v>
      </c>
      <c r="D35" s="154">
        <f t="shared" si="0"/>
        <v>100</v>
      </c>
      <c r="E35" s="155">
        <f t="shared" si="1"/>
        <v>0</v>
      </c>
    </row>
    <row r="36" spans="1:5" ht="27" customHeight="1">
      <c r="A36" s="109" t="s">
        <v>164</v>
      </c>
      <c r="B36" s="201">
        <v>6600</v>
      </c>
      <c r="C36" s="201">
        <v>0</v>
      </c>
      <c r="D36" s="154">
        <f>IF(B36=0,"   ",C36/B36*100)</f>
        <v>0</v>
      </c>
      <c r="E36" s="155">
        <f>C36-B36</f>
        <v>-6600</v>
      </c>
    </row>
    <row r="37" spans="1:5" ht="54.75" customHeight="1">
      <c r="A37" s="16" t="s">
        <v>238</v>
      </c>
      <c r="B37" s="201">
        <v>963800</v>
      </c>
      <c r="C37" s="201">
        <v>963800</v>
      </c>
      <c r="D37" s="154">
        <f>IF(B37=0,"   ",C37/B37*100)</f>
        <v>100</v>
      </c>
      <c r="E37" s="155">
        <f>C37-B37</f>
        <v>0</v>
      </c>
    </row>
    <row r="38" spans="1:5" ht="17.25" customHeight="1">
      <c r="A38" s="156" t="s">
        <v>55</v>
      </c>
      <c r="B38" s="201">
        <f>B39+B41+B40</f>
        <v>2507170</v>
      </c>
      <c r="C38" s="201">
        <f>C39+C41+C40</f>
        <v>207000</v>
      </c>
      <c r="D38" s="154">
        <f t="shared" si="0"/>
        <v>8.25632087173985</v>
      </c>
      <c r="E38" s="155">
        <f t="shared" si="1"/>
        <v>-2300170</v>
      </c>
    </row>
    <row r="39" spans="1:5" s="7" customFormat="1" ht="14.25" customHeight="1">
      <c r="A39" s="46" t="s">
        <v>109</v>
      </c>
      <c r="B39" s="201">
        <v>670000</v>
      </c>
      <c r="C39" s="201">
        <v>207000</v>
      </c>
      <c r="D39" s="47">
        <f t="shared" si="0"/>
        <v>30.895522388059703</v>
      </c>
      <c r="E39" s="176">
        <f t="shared" si="1"/>
        <v>-463000</v>
      </c>
    </row>
    <row r="40" spans="1:5" s="7" customFormat="1" ht="14.25" customHeight="1">
      <c r="A40" s="46" t="s">
        <v>296</v>
      </c>
      <c r="B40" s="201">
        <v>1702970</v>
      </c>
      <c r="C40" s="201">
        <v>0</v>
      </c>
      <c r="D40" s="47">
        <f t="shared" si="0"/>
        <v>0</v>
      </c>
      <c r="E40" s="176">
        <f t="shared" si="1"/>
        <v>-1702970</v>
      </c>
    </row>
    <row r="41" spans="1:5" s="7" customFormat="1" ht="14.25" customHeight="1">
      <c r="A41" s="46" t="s">
        <v>188</v>
      </c>
      <c r="B41" s="201">
        <v>134200</v>
      </c>
      <c r="C41" s="201">
        <v>0</v>
      </c>
      <c r="D41" s="47">
        <f t="shared" si="0"/>
        <v>0</v>
      </c>
      <c r="E41" s="176">
        <f t="shared" si="1"/>
        <v>-134200</v>
      </c>
    </row>
    <row r="42" spans="1:5" ht="39" customHeight="1">
      <c r="A42" s="156" t="s">
        <v>103</v>
      </c>
      <c r="B42" s="201">
        <v>0</v>
      </c>
      <c r="C42" s="243">
        <v>0</v>
      </c>
      <c r="D42" s="154" t="str">
        <f t="shared" si="0"/>
        <v>   </v>
      </c>
      <c r="E42" s="155">
        <f t="shared" si="1"/>
        <v>0</v>
      </c>
    </row>
    <row r="43" spans="1:5" ht="29.25" customHeight="1">
      <c r="A43" s="16" t="s">
        <v>298</v>
      </c>
      <c r="B43" s="201">
        <v>700000</v>
      </c>
      <c r="C43" s="243">
        <v>0</v>
      </c>
      <c r="D43" s="154">
        <f t="shared" si="0"/>
        <v>0</v>
      </c>
      <c r="E43" s="155">
        <f t="shared" si="1"/>
        <v>-700000</v>
      </c>
    </row>
    <row r="44" spans="1:5" ht="15.75" customHeight="1">
      <c r="A44" s="16" t="s">
        <v>199</v>
      </c>
      <c r="B44" s="201">
        <v>22367.9</v>
      </c>
      <c r="C44" s="201">
        <v>22375</v>
      </c>
      <c r="D44" s="154">
        <f t="shared" si="0"/>
        <v>100.0317419158705</v>
      </c>
      <c r="E44" s="155">
        <f t="shared" si="1"/>
        <v>7.099999999998545</v>
      </c>
    </row>
    <row r="45" spans="1:5" ht="27" customHeight="1">
      <c r="A45" s="157" t="s">
        <v>11</v>
      </c>
      <c r="B45" s="150">
        <f>SUM(B29,B30,)</f>
        <v>9020337.9</v>
      </c>
      <c r="C45" s="150">
        <f>SUM(C29,C30,)</f>
        <v>4984988.21</v>
      </c>
      <c r="D45" s="141">
        <f t="shared" si="0"/>
        <v>55.26387442758658</v>
      </c>
      <c r="E45" s="142">
        <f t="shared" si="1"/>
        <v>-4035349.6900000004</v>
      </c>
    </row>
    <row r="46" spans="1:5" ht="20.25" customHeight="1">
      <c r="A46" s="30"/>
      <c r="B46" s="160"/>
      <c r="C46" s="152"/>
      <c r="D46" s="154" t="str">
        <f t="shared" si="0"/>
        <v>   </v>
      </c>
      <c r="E46" s="155">
        <f t="shared" si="1"/>
        <v>0</v>
      </c>
    </row>
    <row r="47" spans="1:5" ht="12.75">
      <c r="A47" s="161" t="s">
        <v>12</v>
      </c>
      <c r="B47" s="150"/>
      <c r="C47" s="162"/>
      <c r="D47" s="154" t="str">
        <f t="shared" si="0"/>
        <v>   </v>
      </c>
      <c r="E47" s="155">
        <f t="shared" si="1"/>
        <v>0</v>
      </c>
    </row>
    <row r="48" spans="1:5" ht="19.5" customHeight="1">
      <c r="A48" s="156" t="s">
        <v>35</v>
      </c>
      <c r="B48" s="152">
        <f>SUM(B49,B52,B53)</f>
        <v>1278410</v>
      </c>
      <c r="C48" s="152">
        <f>SUM(C49,C52,C53)</f>
        <v>940001.94</v>
      </c>
      <c r="D48" s="154">
        <f t="shared" si="0"/>
        <v>73.5289883527194</v>
      </c>
      <c r="E48" s="155">
        <f t="shared" si="1"/>
        <v>-338408.06000000006</v>
      </c>
    </row>
    <row r="49" spans="1:5" ht="13.5" customHeight="1">
      <c r="A49" s="156" t="s">
        <v>36</v>
      </c>
      <c r="B49" s="152">
        <v>1276000</v>
      </c>
      <c r="C49" s="152">
        <v>940001.94</v>
      </c>
      <c r="D49" s="154">
        <f t="shared" si="0"/>
        <v>73.66786363636363</v>
      </c>
      <c r="E49" s="155">
        <f t="shared" si="1"/>
        <v>-335998.06000000006</v>
      </c>
    </row>
    <row r="50" spans="1:5" ht="12.75">
      <c r="A50" s="156" t="s">
        <v>121</v>
      </c>
      <c r="B50" s="152">
        <v>860399</v>
      </c>
      <c r="C50" s="162">
        <v>671630.78</v>
      </c>
      <c r="D50" s="154">
        <f t="shared" si="0"/>
        <v>78.06038593722215</v>
      </c>
      <c r="E50" s="155">
        <f t="shared" si="1"/>
        <v>-188768.21999999997</v>
      </c>
    </row>
    <row r="51" spans="1:5" ht="12.75">
      <c r="A51" s="85" t="s">
        <v>288</v>
      </c>
      <c r="B51" s="152">
        <v>100</v>
      </c>
      <c r="C51" s="162">
        <v>100</v>
      </c>
      <c r="D51" s="154">
        <f>IF(B51=0,"   ",C51/B51*100)</f>
        <v>100</v>
      </c>
      <c r="E51" s="155">
        <f>C51-B51</f>
        <v>0</v>
      </c>
    </row>
    <row r="52" spans="1:5" ht="12.75">
      <c r="A52" s="156" t="s">
        <v>95</v>
      </c>
      <c r="B52" s="152">
        <v>0</v>
      </c>
      <c r="C52" s="153">
        <v>0</v>
      </c>
      <c r="D52" s="154" t="str">
        <f t="shared" si="0"/>
        <v>   </v>
      </c>
      <c r="E52" s="155">
        <f t="shared" si="1"/>
        <v>0</v>
      </c>
    </row>
    <row r="53" spans="1:5" ht="12.75">
      <c r="A53" s="41" t="s">
        <v>52</v>
      </c>
      <c r="B53" s="153">
        <f>SUM(B54+B55)</f>
        <v>2410</v>
      </c>
      <c r="C53" s="153">
        <f>SUM(C54+C55)</f>
        <v>0</v>
      </c>
      <c r="D53" s="154">
        <f>IF(B53=0,"   ",C53/B53*100)</f>
        <v>0</v>
      </c>
      <c r="E53" s="155">
        <f>C53-B53</f>
        <v>-2410</v>
      </c>
    </row>
    <row r="54" spans="1:5" ht="26.25">
      <c r="A54" s="105" t="s">
        <v>248</v>
      </c>
      <c r="B54" s="152">
        <v>0</v>
      </c>
      <c r="C54" s="153">
        <v>0</v>
      </c>
      <c r="D54" s="154" t="str">
        <f>IF(B54=0,"   ",C54/B54*100)</f>
        <v>   </v>
      </c>
      <c r="E54" s="155">
        <f>C54-B54</f>
        <v>0</v>
      </c>
    </row>
    <row r="55" spans="1:5" ht="12.75">
      <c r="A55" s="105" t="s">
        <v>264</v>
      </c>
      <c r="B55" s="152">
        <v>2410</v>
      </c>
      <c r="C55" s="153">
        <v>0</v>
      </c>
      <c r="D55" s="154">
        <f>IF(B55=0,"   ",C55/B55*100)</f>
        <v>0</v>
      </c>
      <c r="E55" s="155">
        <f>C55-B55</f>
        <v>-2410</v>
      </c>
    </row>
    <row r="56" spans="1:5" ht="18.75" customHeight="1">
      <c r="A56" s="156" t="s">
        <v>49</v>
      </c>
      <c r="B56" s="153">
        <f>SUM(B57)</f>
        <v>90300</v>
      </c>
      <c r="C56" s="153">
        <f>SUM(C57)</f>
        <v>72760.32</v>
      </c>
      <c r="D56" s="154">
        <f t="shared" si="0"/>
        <v>80.57621262458471</v>
      </c>
      <c r="E56" s="155">
        <f t="shared" si="1"/>
        <v>-17539.679999999993</v>
      </c>
    </row>
    <row r="57" spans="1:5" ht="13.5" customHeight="1">
      <c r="A57" s="46" t="s">
        <v>107</v>
      </c>
      <c r="B57" s="152">
        <v>90300</v>
      </c>
      <c r="C57" s="153">
        <v>72760.32</v>
      </c>
      <c r="D57" s="154">
        <f t="shared" si="0"/>
        <v>80.57621262458471</v>
      </c>
      <c r="E57" s="155">
        <f t="shared" si="1"/>
        <v>-17539.679999999993</v>
      </c>
    </row>
    <row r="58" spans="1:5" ht="17.25" customHeight="1">
      <c r="A58" s="156" t="s">
        <v>37</v>
      </c>
      <c r="B58" s="152">
        <f>SUM(B59)</f>
        <v>400</v>
      </c>
      <c r="C58" s="152">
        <f>SUM(C59)</f>
        <v>400</v>
      </c>
      <c r="D58" s="154">
        <f t="shared" si="0"/>
        <v>100</v>
      </c>
      <c r="E58" s="155">
        <f t="shared" si="1"/>
        <v>0</v>
      </c>
    </row>
    <row r="59" spans="1:5" ht="15" customHeight="1">
      <c r="A59" s="75" t="s">
        <v>128</v>
      </c>
      <c r="B59" s="152">
        <v>400</v>
      </c>
      <c r="C59" s="153">
        <v>400</v>
      </c>
      <c r="D59" s="154">
        <f t="shared" si="0"/>
        <v>100</v>
      </c>
      <c r="E59" s="155">
        <f t="shared" si="1"/>
        <v>0</v>
      </c>
    </row>
    <row r="60" spans="1:5" ht="15.75" customHeight="1">
      <c r="A60" s="156" t="s">
        <v>38</v>
      </c>
      <c r="B60" s="152">
        <f>B64+B61+B72</f>
        <v>2848894.79</v>
      </c>
      <c r="C60" s="152">
        <f>C64+C61+C72</f>
        <v>1343237.56</v>
      </c>
      <c r="D60" s="154">
        <f t="shared" si="0"/>
        <v>47.14942667293094</v>
      </c>
      <c r="E60" s="155">
        <f t="shared" si="1"/>
        <v>-1505657.23</v>
      </c>
    </row>
    <row r="61" spans="1:5" ht="15.75" customHeight="1">
      <c r="A61" s="75" t="s">
        <v>165</v>
      </c>
      <c r="B61" s="25">
        <f>SUM(B62+B63)</f>
        <v>6600</v>
      </c>
      <c r="C61" s="25">
        <f>SUM(C62+C63)</f>
        <v>0</v>
      </c>
      <c r="D61" s="154">
        <f>IF(B61=0,"   ",C61/B61*100)</f>
        <v>0</v>
      </c>
      <c r="E61" s="155">
        <f>C61-B61</f>
        <v>-6600</v>
      </c>
    </row>
    <row r="62" spans="1:5" ht="15.75" customHeight="1">
      <c r="A62" s="75" t="s">
        <v>166</v>
      </c>
      <c r="B62" s="25">
        <v>6600</v>
      </c>
      <c r="C62" s="152">
        <v>0</v>
      </c>
      <c r="D62" s="154">
        <f>IF(B62=0,"   ",C62/B62*100)</f>
        <v>0</v>
      </c>
      <c r="E62" s="155">
        <f>C62-B62</f>
        <v>-6600</v>
      </c>
    </row>
    <row r="63" spans="1:5" ht="15.75" customHeight="1">
      <c r="A63" s="75" t="s">
        <v>189</v>
      </c>
      <c r="B63" s="25">
        <v>0</v>
      </c>
      <c r="C63" s="152">
        <v>0</v>
      </c>
      <c r="D63" s="154"/>
      <c r="E63" s="155"/>
    </row>
    <row r="64" spans="1:5" ht="12.75">
      <c r="A64" s="164" t="s">
        <v>131</v>
      </c>
      <c r="B64" s="152">
        <f>SUM(B65:B71)</f>
        <v>2842294.79</v>
      </c>
      <c r="C64" s="152">
        <f>SUM(C65:C71)</f>
        <v>1343237.56</v>
      </c>
      <c r="D64" s="154">
        <f t="shared" si="0"/>
        <v>47.25891081832508</v>
      </c>
      <c r="E64" s="155">
        <f t="shared" si="1"/>
        <v>-1499057.23</v>
      </c>
    </row>
    <row r="65" spans="1:5" ht="21.75" customHeight="1">
      <c r="A65" s="75" t="s">
        <v>149</v>
      </c>
      <c r="B65" s="152">
        <v>100000</v>
      </c>
      <c r="C65" s="152">
        <v>42337.56</v>
      </c>
      <c r="D65" s="154">
        <f t="shared" si="0"/>
        <v>42.337559999999996</v>
      </c>
      <c r="E65" s="155">
        <f t="shared" si="1"/>
        <v>-57662.44</v>
      </c>
    </row>
    <row r="66" spans="1:5" ht="30.75" customHeight="1">
      <c r="A66" s="71" t="s">
        <v>257</v>
      </c>
      <c r="B66" s="152">
        <v>926894.79</v>
      </c>
      <c r="C66" s="152">
        <v>0</v>
      </c>
      <c r="D66" s="154">
        <f t="shared" si="0"/>
        <v>0</v>
      </c>
      <c r="E66" s="155">
        <f t="shared" si="1"/>
        <v>-926894.79</v>
      </c>
    </row>
    <row r="67" spans="1:5" ht="30" customHeight="1">
      <c r="A67" s="71" t="s">
        <v>258</v>
      </c>
      <c r="B67" s="152">
        <v>0</v>
      </c>
      <c r="C67" s="152">
        <v>0</v>
      </c>
      <c r="D67" s="154" t="str">
        <f t="shared" si="0"/>
        <v>   </v>
      </c>
      <c r="E67" s="155">
        <f t="shared" si="1"/>
        <v>0</v>
      </c>
    </row>
    <row r="68" spans="1:5" ht="26.25" customHeight="1">
      <c r="A68" s="71" t="s">
        <v>259</v>
      </c>
      <c r="B68" s="152">
        <v>963800</v>
      </c>
      <c r="C68" s="152">
        <v>963800</v>
      </c>
      <c r="D68" s="154">
        <f t="shared" si="0"/>
        <v>100</v>
      </c>
      <c r="E68" s="155">
        <f t="shared" si="1"/>
        <v>0</v>
      </c>
    </row>
    <row r="69" spans="1:5" ht="27" customHeight="1">
      <c r="A69" s="71" t="s">
        <v>260</v>
      </c>
      <c r="B69" s="152">
        <v>107100</v>
      </c>
      <c r="C69" s="152">
        <v>107100</v>
      </c>
      <c r="D69" s="154">
        <f t="shared" si="0"/>
        <v>100</v>
      </c>
      <c r="E69" s="155">
        <f t="shared" si="1"/>
        <v>0</v>
      </c>
    </row>
    <row r="70" spans="1:5" ht="24" customHeight="1">
      <c r="A70" s="71" t="s">
        <v>261</v>
      </c>
      <c r="B70" s="152">
        <v>670000</v>
      </c>
      <c r="C70" s="152">
        <v>207000</v>
      </c>
      <c r="D70" s="154">
        <f>IF(B70=0,"   ",C70/B70*100)</f>
        <v>30.895522388059703</v>
      </c>
      <c r="E70" s="155">
        <f>C70-B70</f>
        <v>-463000</v>
      </c>
    </row>
    <row r="71" spans="1:5" ht="31.5" customHeight="1">
      <c r="A71" s="71" t="s">
        <v>262</v>
      </c>
      <c r="B71" s="152">
        <v>74500</v>
      </c>
      <c r="C71" s="152">
        <v>23000</v>
      </c>
      <c r="D71" s="154">
        <f t="shared" si="0"/>
        <v>30.87248322147651</v>
      </c>
      <c r="E71" s="155">
        <f t="shared" si="1"/>
        <v>-51500</v>
      </c>
    </row>
    <row r="72" spans="1:5" ht="23.25" customHeight="1">
      <c r="A72" s="96" t="s">
        <v>177</v>
      </c>
      <c r="B72" s="152">
        <f>SUM(B73)</f>
        <v>0</v>
      </c>
      <c r="C72" s="152">
        <f>SUM(C73)</f>
        <v>0</v>
      </c>
      <c r="D72" s="154" t="str">
        <f>IF(B72=0,"   ",C72/B72*100)</f>
        <v>   </v>
      </c>
      <c r="E72" s="155">
        <f>C72-B72</f>
        <v>0</v>
      </c>
    </row>
    <row r="73" spans="1:5" ht="23.25" customHeight="1">
      <c r="A73" s="75" t="s">
        <v>178</v>
      </c>
      <c r="B73" s="152">
        <v>0</v>
      </c>
      <c r="C73" s="152">
        <v>0</v>
      </c>
      <c r="D73" s="154" t="str">
        <f>IF(B73=0,"   ",C73/B73*100)</f>
        <v>   </v>
      </c>
      <c r="E73" s="155">
        <f>C73-B73</f>
        <v>0</v>
      </c>
    </row>
    <row r="74" spans="1:5" ht="17.25" customHeight="1">
      <c r="A74" s="156" t="s">
        <v>13</v>
      </c>
      <c r="B74" s="152">
        <f>SUM(B82,B75)</f>
        <v>3122241.66</v>
      </c>
      <c r="C74" s="152">
        <f>C75+C82</f>
        <v>134672.95</v>
      </c>
      <c r="D74" s="154">
        <f t="shared" si="0"/>
        <v>4.313341652100049</v>
      </c>
      <c r="E74" s="155">
        <f t="shared" si="1"/>
        <v>-2987568.71</v>
      </c>
    </row>
    <row r="75" spans="1:5" ht="15.75" customHeight="1">
      <c r="A75" s="156" t="s">
        <v>90</v>
      </c>
      <c r="B75" s="152">
        <f>SUM(B76+B77)</f>
        <v>1817060</v>
      </c>
      <c r="C75" s="152">
        <f>SUM(C76)</f>
        <v>0</v>
      </c>
      <c r="D75" s="154">
        <f t="shared" si="0"/>
        <v>0</v>
      </c>
      <c r="E75" s="155">
        <f t="shared" si="1"/>
        <v>-1817060</v>
      </c>
    </row>
    <row r="76" spans="1:5" ht="15.75" customHeight="1">
      <c r="A76" s="16" t="s">
        <v>301</v>
      </c>
      <c r="B76" s="152">
        <v>1702970</v>
      </c>
      <c r="C76" s="152">
        <v>0</v>
      </c>
      <c r="D76" s="154">
        <f>IF(B76=0,"   ",C76/B76*100)</f>
        <v>0</v>
      </c>
      <c r="E76" s="155">
        <f>C76-B76</f>
        <v>-1702970</v>
      </c>
    </row>
    <row r="77" spans="1:5" ht="15.75" customHeight="1">
      <c r="A77" s="16" t="s">
        <v>326</v>
      </c>
      <c r="B77" s="152">
        <v>114090</v>
      </c>
      <c r="C77" s="152">
        <v>0</v>
      </c>
      <c r="D77" s="154">
        <f>IF(B77=0,"   ",C77/B77*100)</f>
        <v>0</v>
      </c>
      <c r="E77" s="155">
        <f>C77-B77</f>
        <v>-114090</v>
      </c>
    </row>
    <row r="78" spans="1:5" ht="15.75" customHeight="1">
      <c r="A78" s="105" t="s">
        <v>206</v>
      </c>
      <c r="B78" s="152">
        <f>B80+B79+B81</f>
        <v>0</v>
      </c>
      <c r="C78" s="152">
        <f>C80+C79+C81</f>
        <v>0</v>
      </c>
      <c r="D78" s="154" t="str">
        <f>IF(B78=0,"   ",C78/B78*100)</f>
        <v>   </v>
      </c>
      <c r="E78" s="155">
        <f>C78-B78</f>
        <v>0</v>
      </c>
    </row>
    <row r="79" spans="1:5" ht="27.75" customHeight="1">
      <c r="A79" s="105" t="s">
        <v>187</v>
      </c>
      <c r="B79" s="152">
        <v>0</v>
      </c>
      <c r="C79" s="152">
        <v>0</v>
      </c>
      <c r="D79" s="154" t="str">
        <f t="shared" si="0"/>
        <v>   </v>
      </c>
      <c r="E79" s="155">
        <f t="shared" si="1"/>
        <v>0</v>
      </c>
    </row>
    <row r="80" spans="1:5" ht="27.75" customHeight="1">
      <c r="A80" s="105" t="s">
        <v>200</v>
      </c>
      <c r="B80" s="152">
        <v>0</v>
      </c>
      <c r="C80" s="152">
        <v>0</v>
      </c>
      <c r="D80" s="154" t="str">
        <f t="shared" si="0"/>
        <v>   </v>
      </c>
      <c r="E80" s="155">
        <f t="shared" si="1"/>
        <v>0</v>
      </c>
    </row>
    <row r="81" spans="1:5" ht="27.75" customHeight="1">
      <c r="A81" s="105" t="s">
        <v>212</v>
      </c>
      <c r="B81" s="152">
        <v>0</v>
      </c>
      <c r="C81" s="152">
        <v>0</v>
      </c>
      <c r="D81" s="154" t="str">
        <f t="shared" si="0"/>
        <v>   </v>
      </c>
      <c r="E81" s="155">
        <f t="shared" si="1"/>
        <v>0</v>
      </c>
    </row>
    <row r="82" spans="1:5" ht="12.75">
      <c r="A82" s="156" t="s">
        <v>58</v>
      </c>
      <c r="B82" s="152">
        <f>B83+B84+B85+B86+B90</f>
        <v>1305181.66</v>
      </c>
      <c r="C82" s="152">
        <f>C83+C84+C85+C86+C90</f>
        <v>134672.95</v>
      </c>
      <c r="D82" s="154">
        <f t="shared" si="0"/>
        <v>10.318329940370141</v>
      </c>
      <c r="E82" s="155">
        <f t="shared" si="1"/>
        <v>-1170508.71</v>
      </c>
    </row>
    <row r="83" spans="1:5" ht="12.75">
      <c r="A83" s="156" t="s">
        <v>56</v>
      </c>
      <c r="B83" s="152">
        <v>375700</v>
      </c>
      <c r="C83" s="152">
        <v>134672.95</v>
      </c>
      <c r="D83" s="154">
        <f t="shared" si="0"/>
        <v>35.84587436784669</v>
      </c>
      <c r="E83" s="155">
        <f t="shared" si="1"/>
        <v>-241027.05</v>
      </c>
    </row>
    <row r="84" spans="1:5" ht="12.75">
      <c r="A84" s="156" t="s">
        <v>59</v>
      </c>
      <c r="B84" s="152">
        <v>5731.66</v>
      </c>
      <c r="C84" s="153">
        <v>0</v>
      </c>
      <c r="D84" s="154">
        <f t="shared" si="0"/>
        <v>0</v>
      </c>
      <c r="E84" s="155">
        <f t="shared" si="1"/>
        <v>-5731.66</v>
      </c>
    </row>
    <row r="85" spans="1:5" ht="26.25">
      <c r="A85" s="105" t="s">
        <v>167</v>
      </c>
      <c r="B85" s="152">
        <v>0</v>
      </c>
      <c r="C85" s="153">
        <v>0</v>
      </c>
      <c r="D85" s="154" t="str">
        <f>IF(B85=0,"   ",C85/B85*100)</f>
        <v>   </v>
      </c>
      <c r="E85" s="155">
        <f>C85-B85</f>
        <v>0</v>
      </c>
    </row>
    <row r="86" spans="1:5" ht="12.75">
      <c r="A86" s="105" t="s">
        <v>206</v>
      </c>
      <c r="B86" s="152">
        <f>B88+B87+B89</f>
        <v>223750</v>
      </c>
      <c r="C86" s="152">
        <f>C88+C87+C89</f>
        <v>0</v>
      </c>
      <c r="D86" s="154">
        <f>IF(B86=0,"   ",C86/B86*100)</f>
        <v>0</v>
      </c>
      <c r="E86" s="155">
        <f>C86-B86</f>
        <v>-223750</v>
      </c>
    </row>
    <row r="87" spans="1:5" ht="26.25">
      <c r="A87" s="105" t="s">
        <v>187</v>
      </c>
      <c r="B87" s="152">
        <v>134250</v>
      </c>
      <c r="C87" s="153">
        <v>0</v>
      </c>
      <c r="D87" s="154">
        <f>IF(B87=0,"   ",C87/B87*100)</f>
        <v>0</v>
      </c>
      <c r="E87" s="155">
        <f>C87-B87</f>
        <v>-134250</v>
      </c>
    </row>
    <row r="88" spans="1:5" ht="26.25">
      <c r="A88" s="105" t="s">
        <v>200</v>
      </c>
      <c r="B88" s="152">
        <v>67125</v>
      </c>
      <c r="C88" s="153">
        <v>0</v>
      </c>
      <c r="D88" s="154">
        <f>IF(B88=0,"   ",C88/B88*100)</f>
        <v>0</v>
      </c>
      <c r="E88" s="155">
        <f>C88-B88</f>
        <v>-67125</v>
      </c>
    </row>
    <row r="89" spans="1:5" ht="26.25">
      <c r="A89" s="105" t="s">
        <v>212</v>
      </c>
      <c r="B89" s="152">
        <v>22375</v>
      </c>
      <c r="C89" s="153">
        <v>0</v>
      </c>
      <c r="D89" s="154">
        <f>IF(B89=0,"   ",C89/B89*100)</f>
        <v>0</v>
      </c>
      <c r="E89" s="155">
        <f>C89-B89</f>
        <v>-22375</v>
      </c>
    </row>
    <row r="90" spans="1:5" ht="21.75" customHeight="1">
      <c r="A90" s="105" t="s">
        <v>302</v>
      </c>
      <c r="B90" s="152">
        <v>700000</v>
      </c>
      <c r="C90" s="153">
        <v>0</v>
      </c>
      <c r="D90" s="154">
        <f t="shared" si="0"/>
        <v>0</v>
      </c>
      <c r="E90" s="155">
        <f t="shared" si="1"/>
        <v>-700000</v>
      </c>
    </row>
    <row r="91" spans="1:5" ht="12.75" customHeight="1">
      <c r="A91" s="165" t="s">
        <v>17</v>
      </c>
      <c r="B91" s="166">
        <v>0</v>
      </c>
      <c r="C91" s="166">
        <v>0</v>
      </c>
      <c r="D91" s="167" t="str">
        <f t="shared" si="0"/>
        <v>   </v>
      </c>
      <c r="E91" s="168">
        <f t="shared" si="1"/>
        <v>0</v>
      </c>
    </row>
    <row r="92" spans="1:5" ht="19.5" customHeight="1">
      <c r="A92" s="169" t="s">
        <v>41</v>
      </c>
      <c r="B92" s="170">
        <f>B93</f>
        <v>1858800</v>
      </c>
      <c r="C92" s="170">
        <f>C93</f>
        <v>1577985.75</v>
      </c>
      <c r="D92" s="167">
        <f t="shared" si="0"/>
        <v>84.8927130406714</v>
      </c>
      <c r="E92" s="168">
        <f t="shared" si="1"/>
        <v>-280814.25</v>
      </c>
    </row>
    <row r="93" spans="1:5" ht="15" customHeight="1">
      <c r="A93" s="169" t="s">
        <v>42</v>
      </c>
      <c r="B93" s="166">
        <v>1858800</v>
      </c>
      <c r="C93" s="171">
        <v>1577985.75</v>
      </c>
      <c r="D93" s="167">
        <f t="shared" si="0"/>
        <v>84.8927130406714</v>
      </c>
      <c r="E93" s="168">
        <f t="shared" si="1"/>
        <v>-280814.25</v>
      </c>
    </row>
    <row r="94" spans="1:5" ht="14.25" customHeight="1">
      <c r="A94" s="169" t="s">
        <v>124</v>
      </c>
      <c r="B94" s="166">
        <f>SUM(B95,)</f>
        <v>0</v>
      </c>
      <c r="C94" s="166">
        <f>SUM(C95,)</f>
        <v>0</v>
      </c>
      <c r="D94" s="167" t="str">
        <f t="shared" si="0"/>
        <v>   </v>
      </c>
      <c r="E94" s="168">
        <f t="shared" si="1"/>
        <v>0</v>
      </c>
    </row>
    <row r="95" spans="1:5" ht="12.75">
      <c r="A95" s="169" t="s">
        <v>43</v>
      </c>
      <c r="B95" s="166">
        <v>0</v>
      </c>
      <c r="C95" s="172">
        <v>0</v>
      </c>
      <c r="D95" s="167" t="str">
        <f t="shared" si="0"/>
        <v>   </v>
      </c>
      <c r="E95" s="168">
        <f t="shared" si="1"/>
        <v>0</v>
      </c>
    </row>
    <row r="96" spans="1:5" ht="23.25" customHeight="1">
      <c r="A96" s="157" t="s">
        <v>15</v>
      </c>
      <c r="B96" s="150">
        <f>SUM(B48,B56,B58,B60,B74,B91,B92,B94,)</f>
        <v>9199046.45</v>
      </c>
      <c r="C96" s="150">
        <f>SUM(C48,C56,C58,C60,C74,C91,C92,C94,)</f>
        <v>4069058.5200000005</v>
      </c>
      <c r="D96" s="141">
        <f>IF(B96=0,"   ",C96/B96*100)</f>
        <v>44.23348161265129</v>
      </c>
      <c r="E96" s="142">
        <f t="shared" si="1"/>
        <v>-5129987.929999999</v>
      </c>
    </row>
    <row r="97" spans="1:5" s="59" customFormat="1" ht="23.25" customHeight="1">
      <c r="A97" s="80" t="s">
        <v>304</v>
      </c>
      <c r="B97" s="80"/>
      <c r="C97" s="309"/>
      <c r="D97" s="309"/>
      <c r="E97" s="309"/>
    </row>
    <row r="98" spans="1:5" s="59" customFormat="1" ht="12" customHeight="1">
      <c r="A98" s="80" t="s">
        <v>154</v>
      </c>
      <c r="B98" s="80"/>
      <c r="C98" s="81" t="s">
        <v>247</v>
      </c>
      <c r="D98" s="82"/>
      <c r="E98" s="83"/>
    </row>
    <row r="99" spans="1:5" ht="12.75">
      <c r="A99" s="177"/>
      <c r="B99" s="177"/>
      <c r="C99" s="178"/>
      <c r="D99" s="177"/>
      <c r="E99" s="179"/>
    </row>
    <row r="100" spans="1:5" ht="12.75">
      <c r="A100" s="177"/>
      <c r="B100" s="177"/>
      <c r="C100" s="178"/>
      <c r="D100" s="177"/>
      <c r="E100" s="179"/>
    </row>
    <row r="101" spans="1:5" ht="12.75">
      <c r="A101" s="180"/>
      <c r="B101" s="180"/>
      <c r="C101" s="180"/>
      <c r="D101" s="180"/>
      <c r="E101" s="180"/>
    </row>
    <row r="102" spans="1:5" ht="12.75">
      <c r="A102" s="180"/>
      <c r="B102" s="180"/>
      <c r="C102" s="180"/>
      <c r="D102" s="180"/>
      <c r="E102" s="180"/>
    </row>
    <row r="103" spans="1:5" ht="12.75">
      <c r="A103" s="180"/>
      <c r="B103" s="180"/>
      <c r="C103" s="180"/>
      <c r="D103" s="180"/>
      <c r="E103" s="180"/>
    </row>
    <row r="104" spans="1:5" ht="12.75">
      <c r="A104" s="180"/>
      <c r="B104" s="180"/>
      <c r="C104" s="180"/>
      <c r="D104" s="180"/>
      <c r="E104" s="180"/>
    </row>
    <row r="105" spans="1:5" ht="12.75">
      <c r="A105" s="180"/>
      <c r="B105" s="180"/>
      <c r="C105" s="180"/>
      <c r="D105" s="180"/>
      <c r="E105" s="180"/>
    </row>
    <row r="106" spans="1:5" ht="12.75">
      <c r="A106" s="180"/>
      <c r="B106" s="180"/>
      <c r="C106" s="180"/>
      <c r="D106" s="180"/>
      <c r="E106" s="180"/>
    </row>
  </sheetData>
  <sheetProtection/>
  <mergeCells count="2">
    <mergeCell ref="A1:E1"/>
    <mergeCell ref="C97:E97"/>
  </mergeCells>
  <printOptions/>
  <pageMargins left="1.141732283464567" right="0.5511811023622047" top="0.4724409448818898" bottom="0.4724409448818898" header="0.5118110236220472" footer="0.5118110236220472"/>
  <pageSetup fitToHeight="2" fitToWidth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6"/>
  <sheetViews>
    <sheetView zoomScalePageLayoutView="0" workbookViewId="0" topLeftCell="A32">
      <selection activeCell="C46" sqref="C46"/>
    </sheetView>
  </sheetViews>
  <sheetFormatPr defaultColWidth="9.00390625" defaultRowHeight="12.75"/>
  <cols>
    <col min="1" max="1" width="109.875" style="0" customWidth="1"/>
    <col min="2" max="2" width="17.50390625" style="0" customWidth="1"/>
    <col min="3" max="3" width="17.625" style="0" customWidth="1"/>
    <col min="4" max="4" width="17.125" style="0" customWidth="1"/>
    <col min="5" max="5" width="15.00390625" style="0" customWidth="1"/>
  </cols>
  <sheetData>
    <row r="1" spans="1:5" ht="17.25">
      <c r="A1" s="311" t="s">
        <v>319</v>
      </c>
      <c r="B1" s="311"/>
      <c r="C1" s="311"/>
      <c r="D1" s="311"/>
      <c r="E1" s="311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78">
      <c r="A4" s="34" t="s">
        <v>1</v>
      </c>
      <c r="B4" s="19" t="s">
        <v>251</v>
      </c>
      <c r="C4" s="32" t="s">
        <v>317</v>
      </c>
      <c r="D4" s="19" t="s">
        <v>252</v>
      </c>
      <c r="E4" s="36" t="s">
        <v>253</v>
      </c>
    </row>
    <row r="5" spans="1:5" ht="12.75">
      <c r="A5" s="13">
        <v>1</v>
      </c>
      <c r="B5" s="74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7" t="s">
        <v>45</v>
      </c>
      <c r="B7" s="149">
        <f>SUM(B8)</f>
        <v>81500</v>
      </c>
      <c r="C7" s="149">
        <f>C8</f>
        <v>44249</v>
      </c>
      <c r="D7" s="139">
        <f aca="true" t="shared" si="0" ref="D7:D99">IF(B7=0,"   ",C7/B7*100)</f>
        <v>54.29325153374233</v>
      </c>
      <c r="E7" s="140">
        <f aca="true" t="shared" si="1" ref="E7:E100">C7-B7</f>
        <v>-37251</v>
      </c>
    </row>
    <row r="8" spans="1:5" ht="12.75">
      <c r="A8" s="16" t="s">
        <v>44</v>
      </c>
      <c r="B8" s="84">
        <v>81500</v>
      </c>
      <c r="C8" s="243">
        <v>44249</v>
      </c>
      <c r="D8" s="139">
        <f t="shared" si="0"/>
        <v>54.29325153374233</v>
      </c>
      <c r="E8" s="140">
        <f t="shared" si="1"/>
        <v>-37251</v>
      </c>
    </row>
    <row r="9" spans="1:5" ht="12.75">
      <c r="A9" s="64" t="s">
        <v>137</v>
      </c>
      <c r="B9" s="200">
        <f>SUM(B10)</f>
        <v>500700</v>
      </c>
      <c r="C9" s="200">
        <f>SUM(C10)</f>
        <v>396068.51</v>
      </c>
      <c r="D9" s="139">
        <f t="shared" si="0"/>
        <v>79.1029578589974</v>
      </c>
      <c r="E9" s="140">
        <f t="shared" si="1"/>
        <v>-104631.48999999999</v>
      </c>
    </row>
    <row r="10" spans="1:5" ht="12.75">
      <c r="A10" s="41" t="s">
        <v>138</v>
      </c>
      <c r="B10" s="201">
        <v>500700</v>
      </c>
      <c r="C10" s="243">
        <v>396068.51</v>
      </c>
      <c r="D10" s="139">
        <f t="shared" si="0"/>
        <v>79.1029578589974</v>
      </c>
      <c r="E10" s="140">
        <f t="shared" si="1"/>
        <v>-104631.48999999999</v>
      </c>
    </row>
    <row r="11" spans="1:5" ht="13.5" customHeight="1">
      <c r="A11" s="16" t="s">
        <v>7</v>
      </c>
      <c r="B11" s="201">
        <f>SUM(B12:B12)</f>
        <v>53700</v>
      </c>
      <c r="C11" s="201">
        <f>SUM(C12:C12)</f>
        <v>56836.5</v>
      </c>
      <c r="D11" s="139">
        <f t="shared" si="0"/>
        <v>105.84078212290503</v>
      </c>
      <c r="E11" s="140">
        <f t="shared" si="1"/>
        <v>3136.5</v>
      </c>
    </row>
    <row r="12" spans="1:5" ht="13.5" customHeight="1">
      <c r="A12" s="16" t="s">
        <v>26</v>
      </c>
      <c r="B12" s="201">
        <v>53700</v>
      </c>
      <c r="C12" s="243">
        <v>56836.5</v>
      </c>
      <c r="D12" s="139">
        <f t="shared" si="0"/>
        <v>105.84078212290503</v>
      </c>
      <c r="E12" s="140">
        <f t="shared" si="1"/>
        <v>3136.5</v>
      </c>
    </row>
    <row r="13" spans="1:5" ht="12.75">
      <c r="A13" s="16" t="s">
        <v>9</v>
      </c>
      <c r="B13" s="201">
        <f>SUM(B14:B15)</f>
        <v>344000</v>
      </c>
      <c r="C13" s="201">
        <f>SUM(C14:C15)</f>
        <v>140104.96</v>
      </c>
      <c r="D13" s="139">
        <f t="shared" si="0"/>
        <v>40.728186046511624</v>
      </c>
      <c r="E13" s="140">
        <f t="shared" si="1"/>
        <v>-203895.04</v>
      </c>
    </row>
    <row r="14" spans="1:5" ht="19.5" customHeight="1">
      <c r="A14" s="16" t="s">
        <v>27</v>
      </c>
      <c r="B14" s="201">
        <v>87000</v>
      </c>
      <c r="C14" s="243">
        <v>14452.82</v>
      </c>
      <c r="D14" s="139">
        <f t="shared" si="0"/>
        <v>16.612436781609194</v>
      </c>
      <c r="E14" s="140">
        <f t="shared" si="1"/>
        <v>-72547.18</v>
      </c>
    </row>
    <row r="15" spans="1:5" ht="18.75" customHeight="1">
      <c r="A15" s="41" t="s">
        <v>160</v>
      </c>
      <c r="B15" s="201">
        <f>SUM(B16:B17)</f>
        <v>257000</v>
      </c>
      <c r="C15" s="201">
        <f>SUM(C16:C17)</f>
        <v>125652.13999999998</v>
      </c>
      <c r="D15" s="139">
        <f t="shared" si="0"/>
        <v>48.89188326848248</v>
      </c>
      <c r="E15" s="140">
        <f t="shared" si="1"/>
        <v>-131347.86000000002</v>
      </c>
    </row>
    <row r="16" spans="1:5" ht="18.75" customHeight="1">
      <c r="A16" s="41" t="s">
        <v>161</v>
      </c>
      <c r="B16" s="201">
        <v>40000</v>
      </c>
      <c r="C16" s="243">
        <v>26944.1</v>
      </c>
      <c r="D16" s="139">
        <f t="shared" si="0"/>
        <v>67.36025</v>
      </c>
      <c r="E16" s="140">
        <f t="shared" si="1"/>
        <v>-13055.900000000001</v>
      </c>
    </row>
    <row r="17" spans="1:5" ht="18" customHeight="1">
      <c r="A17" s="41" t="s">
        <v>162</v>
      </c>
      <c r="B17" s="201">
        <v>217000</v>
      </c>
      <c r="C17" s="243">
        <v>98708.04</v>
      </c>
      <c r="D17" s="139">
        <f t="shared" si="0"/>
        <v>45.48757603686636</v>
      </c>
      <c r="E17" s="140">
        <f t="shared" si="1"/>
        <v>-118291.96</v>
      </c>
    </row>
    <row r="18" spans="1:5" ht="18" customHeight="1">
      <c r="A18" s="41" t="s">
        <v>196</v>
      </c>
      <c r="B18" s="201">
        <v>0</v>
      </c>
      <c r="C18" s="243">
        <v>0</v>
      </c>
      <c r="D18" s="139" t="str">
        <f t="shared" si="0"/>
        <v>   </v>
      </c>
      <c r="E18" s="140">
        <f t="shared" si="1"/>
        <v>0</v>
      </c>
    </row>
    <row r="19" spans="1:5" ht="15" customHeight="1">
      <c r="A19" s="16" t="s">
        <v>88</v>
      </c>
      <c r="B19" s="201">
        <v>0</v>
      </c>
      <c r="C19" s="202">
        <v>0</v>
      </c>
      <c r="D19" s="139" t="str">
        <f t="shared" si="0"/>
        <v>   </v>
      </c>
      <c r="E19" s="140">
        <f t="shared" si="1"/>
        <v>0</v>
      </c>
    </row>
    <row r="20" spans="1:5" ht="26.25" customHeight="1">
      <c r="A20" s="16" t="s">
        <v>28</v>
      </c>
      <c r="B20" s="201">
        <f>B22+B21</f>
        <v>88800</v>
      </c>
      <c r="C20" s="200">
        <f>SUM(C21:C22)</f>
        <v>5356.3</v>
      </c>
      <c r="D20" s="139">
        <f t="shared" si="0"/>
        <v>6.031869369369369</v>
      </c>
      <c r="E20" s="140">
        <f t="shared" si="1"/>
        <v>-83443.7</v>
      </c>
    </row>
    <row r="21" spans="1:5" ht="15.75" customHeight="1">
      <c r="A21" s="41" t="s">
        <v>152</v>
      </c>
      <c r="B21" s="201">
        <v>88800</v>
      </c>
      <c r="C21" s="202">
        <v>5356.3</v>
      </c>
      <c r="D21" s="139">
        <f t="shared" si="0"/>
        <v>6.031869369369369</v>
      </c>
      <c r="E21" s="140">
        <f t="shared" si="1"/>
        <v>-83443.7</v>
      </c>
    </row>
    <row r="22" spans="1:5" ht="15" customHeight="1">
      <c r="A22" s="16" t="s">
        <v>30</v>
      </c>
      <c r="B22" s="201">
        <v>0</v>
      </c>
      <c r="C22" s="202">
        <v>0</v>
      </c>
      <c r="D22" s="139" t="str">
        <f t="shared" si="0"/>
        <v>   </v>
      </c>
      <c r="E22" s="140">
        <f t="shared" si="1"/>
        <v>0</v>
      </c>
    </row>
    <row r="23" spans="1:5" ht="18.75" customHeight="1">
      <c r="A23" s="39" t="s">
        <v>91</v>
      </c>
      <c r="B23" s="201">
        <v>0</v>
      </c>
      <c r="C23" s="202">
        <v>0</v>
      </c>
      <c r="D23" s="139" t="str">
        <f t="shared" si="0"/>
        <v>   </v>
      </c>
      <c r="E23" s="140">
        <f t="shared" si="1"/>
        <v>0</v>
      </c>
    </row>
    <row r="24" spans="1:5" ht="18.75" customHeight="1">
      <c r="A24" s="16" t="s">
        <v>76</v>
      </c>
      <c r="B24" s="201">
        <f>SUM(B25)</f>
        <v>0</v>
      </c>
      <c r="C24" s="201">
        <f>SUM(C25)</f>
        <v>0</v>
      </c>
      <c r="D24" s="139" t="str">
        <f t="shared" si="0"/>
        <v>   </v>
      </c>
      <c r="E24" s="140">
        <f t="shared" si="1"/>
        <v>0</v>
      </c>
    </row>
    <row r="25" spans="1:5" ht="24.75" customHeight="1">
      <c r="A25" s="16" t="s">
        <v>77</v>
      </c>
      <c r="B25" s="201">
        <v>0</v>
      </c>
      <c r="C25" s="202">
        <v>0</v>
      </c>
      <c r="D25" s="139" t="str">
        <f t="shared" si="0"/>
        <v>   </v>
      </c>
      <c r="E25" s="140">
        <f t="shared" si="1"/>
        <v>0</v>
      </c>
    </row>
    <row r="26" spans="1:5" ht="24.75" customHeight="1">
      <c r="A26" s="16" t="s">
        <v>31</v>
      </c>
      <c r="B26" s="201">
        <v>0</v>
      </c>
      <c r="C26" s="202">
        <v>0</v>
      </c>
      <c r="D26" s="139" t="str">
        <f t="shared" si="0"/>
        <v>   </v>
      </c>
      <c r="E26" s="140">
        <f t="shared" si="1"/>
        <v>0</v>
      </c>
    </row>
    <row r="27" spans="1:5" ht="17.25" customHeight="1">
      <c r="A27" s="16" t="s">
        <v>32</v>
      </c>
      <c r="B27" s="200">
        <f>B28+B29</f>
        <v>0</v>
      </c>
      <c r="C27" s="200">
        <f>C28+C29</f>
        <v>-12.12</v>
      </c>
      <c r="D27" s="139" t="str">
        <f t="shared" si="0"/>
        <v>   </v>
      </c>
      <c r="E27" s="140">
        <f t="shared" si="1"/>
        <v>-12.12</v>
      </c>
    </row>
    <row r="28" spans="1:5" ht="14.25" customHeight="1">
      <c r="A28" s="16" t="s">
        <v>136</v>
      </c>
      <c r="B28" s="201">
        <v>0</v>
      </c>
      <c r="C28" s="202">
        <v>-12.12</v>
      </c>
      <c r="D28" s="139" t="str">
        <f t="shared" si="0"/>
        <v>   </v>
      </c>
      <c r="E28" s="140">
        <f t="shared" si="1"/>
        <v>-12.12</v>
      </c>
    </row>
    <row r="29" spans="1:5" ht="14.25" customHeight="1">
      <c r="A29" s="16" t="s">
        <v>110</v>
      </c>
      <c r="B29" s="201">
        <v>0</v>
      </c>
      <c r="C29" s="201">
        <v>0</v>
      </c>
      <c r="D29" s="139" t="str">
        <f t="shared" si="0"/>
        <v>   </v>
      </c>
      <c r="E29" s="140">
        <f t="shared" si="1"/>
        <v>0</v>
      </c>
    </row>
    <row r="30" spans="1:5" ht="18" customHeight="1">
      <c r="A30" s="173" t="s">
        <v>10</v>
      </c>
      <c r="B30" s="150">
        <f>SUM(B7,B9,B11,B13,B19,B20,B23,B24,B26,B28,B29,B18)</f>
        <v>1068700</v>
      </c>
      <c r="C30" s="150">
        <f>SUM(C7,C9,C11,C13,C19,C20,C23,C24,C26,C28,C29,C18)</f>
        <v>642603.15</v>
      </c>
      <c r="D30" s="141">
        <f t="shared" si="0"/>
        <v>60.12942359876485</v>
      </c>
      <c r="E30" s="142">
        <f t="shared" si="1"/>
        <v>-426096.85</v>
      </c>
    </row>
    <row r="31" spans="1:5" ht="18" customHeight="1">
      <c r="A31" s="148" t="s">
        <v>140</v>
      </c>
      <c r="B31" s="189">
        <f>SUM(B32:B35,B38,B39,B43+B45)</f>
        <v>4399293</v>
      </c>
      <c r="C31" s="189">
        <f>SUM(C32:C35,C38,C39,C43+C45)</f>
        <v>1689174</v>
      </c>
      <c r="D31" s="141">
        <f t="shared" si="0"/>
        <v>38.39648779928957</v>
      </c>
      <c r="E31" s="142">
        <f t="shared" si="1"/>
        <v>-2710119</v>
      </c>
    </row>
    <row r="32" spans="1:5" ht="16.5" customHeight="1">
      <c r="A32" s="64" t="s">
        <v>34</v>
      </c>
      <c r="B32" s="160">
        <v>1039500</v>
      </c>
      <c r="C32" s="243">
        <v>864800</v>
      </c>
      <c r="D32" s="154">
        <f t="shared" si="0"/>
        <v>83.1938431938432</v>
      </c>
      <c r="E32" s="155">
        <f t="shared" si="1"/>
        <v>-174700</v>
      </c>
    </row>
    <row r="33" spans="1:5" ht="16.5" customHeight="1">
      <c r="A33" s="17" t="s">
        <v>229</v>
      </c>
      <c r="B33" s="160">
        <v>0</v>
      </c>
      <c r="C33" s="243">
        <v>0</v>
      </c>
      <c r="D33" s="154" t="str">
        <f>IF(B33=0,"   ",C33/B33*100)</f>
        <v>   </v>
      </c>
      <c r="E33" s="155">
        <f>C33-B33</f>
        <v>0</v>
      </c>
    </row>
    <row r="34" spans="1:5" ht="24.75" customHeight="1">
      <c r="A34" s="41" t="s">
        <v>51</v>
      </c>
      <c r="B34" s="201">
        <v>90300</v>
      </c>
      <c r="C34" s="243">
        <v>77900</v>
      </c>
      <c r="D34" s="154">
        <f t="shared" si="0"/>
        <v>86.26799557032115</v>
      </c>
      <c r="E34" s="155">
        <f t="shared" si="1"/>
        <v>-12400</v>
      </c>
    </row>
    <row r="35" spans="1:5" ht="24.75" customHeight="1">
      <c r="A35" s="41" t="s">
        <v>148</v>
      </c>
      <c r="B35" s="201">
        <f>SUM(B36:B37)</f>
        <v>6700</v>
      </c>
      <c r="C35" s="201">
        <f>SUM(C36:C37)</f>
        <v>100</v>
      </c>
      <c r="D35" s="154">
        <f t="shared" si="0"/>
        <v>1.4925373134328357</v>
      </c>
      <c r="E35" s="155">
        <f t="shared" si="1"/>
        <v>-6600</v>
      </c>
    </row>
    <row r="36" spans="1:5" ht="16.5" customHeight="1">
      <c r="A36" s="109" t="s">
        <v>163</v>
      </c>
      <c r="B36" s="201">
        <v>100</v>
      </c>
      <c r="C36" s="202">
        <v>100</v>
      </c>
      <c r="D36" s="154">
        <f>IF(B36=0,"   ",C36/B36*100)</f>
        <v>100</v>
      </c>
      <c r="E36" s="155">
        <f>C36-B36</f>
        <v>0</v>
      </c>
    </row>
    <row r="37" spans="1:5" ht="26.25" customHeight="1">
      <c r="A37" s="109" t="s">
        <v>164</v>
      </c>
      <c r="B37" s="201">
        <v>6600</v>
      </c>
      <c r="C37" s="202">
        <v>0</v>
      </c>
      <c r="D37" s="154">
        <f>IF(B37=0,"   ",C37/B37*100)</f>
        <v>0</v>
      </c>
      <c r="E37" s="155">
        <f>C37-B37</f>
        <v>-6600</v>
      </c>
    </row>
    <row r="38" spans="1:5" ht="56.25" customHeight="1">
      <c r="A38" s="16" t="s">
        <v>238</v>
      </c>
      <c r="B38" s="201">
        <v>455900</v>
      </c>
      <c r="C38" s="202">
        <v>455900</v>
      </c>
      <c r="D38" s="154">
        <f>IF(B38=0,"   ",C38/B38*100)</f>
        <v>100</v>
      </c>
      <c r="E38" s="155">
        <f>C38-B38</f>
        <v>0</v>
      </c>
    </row>
    <row r="39" spans="1:5" ht="14.25" customHeight="1">
      <c r="A39" s="41" t="s">
        <v>80</v>
      </c>
      <c r="B39" s="201">
        <f>B40+B42+B41</f>
        <v>1893850</v>
      </c>
      <c r="C39" s="201">
        <f>C40+C42+C41</f>
        <v>277431</v>
      </c>
      <c r="D39" s="154">
        <f t="shared" si="0"/>
        <v>14.649048235076695</v>
      </c>
      <c r="E39" s="155">
        <f t="shared" si="1"/>
        <v>-1616419</v>
      </c>
    </row>
    <row r="40" spans="1:5" ht="16.5" customHeight="1">
      <c r="A40" s="41" t="s">
        <v>109</v>
      </c>
      <c r="B40" s="201">
        <v>310600</v>
      </c>
      <c r="C40" s="202">
        <v>238302</v>
      </c>
      <c r="D40" s="154">
        <f t="shared" si="0"/>
        <v>76.72311654861558</v>
      </c>
      <c r="E40" s="155">
        <f t="shared" si="1"/>
        <v>-72298</v>
      </c>
    </row>
    <row r="41" spans="1:5" ht="16.5" customHeight="1">
      <c r="A41" s="46" t="s">
        <v>296</v>
      </c>
      <c r="B41" s="201">
        <v>1544150</v>
      </c>
      <c r="C41" s="202">
        <v>0</v>
      </c>
      <c r="D41" s="154">
        <f t="shared" si="0"/>
        <v>0</v>
      </c>
      <c r="E41" s="155">
        <f t="shared" si="1"/>
        <v>-1544150</v>
      </c>
    </row>
    <row r="42" spans="1:5" ht="16.5" customHeight="1">
      <c r="A42" s="46" t="s">
        <v>188</v>
      </c>
      <c r="B42" s="201">
        <v>39100</v>
      </c>
      <c r="C42" s="202">
        <v>39129</v>
      </c>
      <c r="D42" s="154">
        <f t="shared" si="0"/>
        <v>100.07416879795397</v>
      </c>
      <c r="E42" s="155">
        <f t="shared" si="1"/>
        <v>29</v>
      </c>
    </row>
    <row r="43" spans="1:5" ht="27" customHeight="1">
      <c r="A43" s="41" t="s">
        <v>298</v>
      </c>
      <c r="B43" s="201">
        <v>900000</v>
      </c>
      <c r="C43" s="202">
        <v>0</v>
      </c>
      <c r="D43" s="154">
        <f t="shared" si="0"/>
        <v>0</v>
      </c>
      <c r="E43" s="155">
        <f t="shared" si="1"/>
        <v>-900000</v>
      </c>
    </row>
    <row r="44" spans="1:5" ht="37.5" customHeight="1">
      <c r="A44" s="41" t="s">
        <v>103</v>
      </c>
      <c r="B44" s="201">
        <v>0</v>
      </c>
      <c r="C44" s="201">
        <v>0</v>
      </c>
      <c r="D44" s="154" t="str">
        <f t="shared" si="0"/>
        <v>   </v>
      </c>
      <c r="E44" s="155">
        <f t="shared" si="1"/>
        <v>0</v>
      </c>
    </row>
    <row r="45" spans="1:5" ht="15" customHeight="1">
      <c r="A45" s="16" t="s">
        <v>199</v>
      </c>
      <c r="B45" s="201">
        <v>13043</v>
      </c>
      <c r="C45" s="243">
        <v>13043</v>
      </c>
      <c r="D45" s="154">
        <f t="shared" si="0"/>
        <v>100</v>
      </c>
      <c r="E45" s="155">
        <f t="shared" si="1"/>
        <v>0</v>
      </c>
    </row>
    <row r="46" spans="1:5" ht="21" customHeight="1">
      <c r="A46" s="173" t="s">
        <v>11</v>
      </c>
      <c r="B46" s="150">
        <f>SUM(B30,B31,)</f>
        <v>5467993</v>
      </c>
      <c r="C46" s="150">
        <f>SUM(C30,C31,)</f>
        <v>2331777.15</v>
      </c>
      <c r="D46" s="141">
        <f t="shared" si="0"/>
        <v>42.64411366291069</v>
      </c>
      <c r="E46" s="142">
        <f t="shared" si="1"/>
        <v>-3136215.85</v>
      </c>
    </row>
    <row r="47" spans="1:5" ht="21.75" customHeight="1">
      <c r="A47" s="174" t="s">
        <v>12</v>
      </c>
      <c r="B47" s="150"/>
      <c r="C47" s="162"/>
      <c r="D47" s="154" t="str">
        <f t="shared" si="0"/>
        <v>   </v>
      </c>
      <c r="E47" s="155">
        <f t="shared" si="1"/>
        <v>0</v>
      </c>
    </row>
    <row r="48" spans="1:5" ht="16.5" customHeight="1">
      <c r="A48" s="41" t="s">
        <v>35</v>
      </c>
      <c r="B48" s="152">
        <f>SUM(B49,B52:B53)</f>
        <v>1130000</v>
      </c>
      <c r="C48" s="152">
        <f>SUM(C49,C52:C53)</f>
        <v>687554.93</v>
      </c>
      <c r="D48" s="154">
        <f t="shared" si="0"/>
        <v>60.845569026548674</v>
      </c>
      <c r="E48" s="155">
        <f t="shared" si="1"/>
        <v>-442445.06999999995</v>
      </c>
    </row>
    <row r="49" spans="1:5" ht="13.5" customHeight="1">
      <c r="A49" s="41" t="s">
        <v>36</v>
      </c>
      <c r="B49" s="152">
        <v>1129500</v>
      </c>
      <c r="C49" s="152">
        <v>687554.93</v>
      </c>
      <c r="D49" s="154">
        <f t="shared" si="0"/>
        <v>60.87250376272687</v>
      </c>
      <c r="E49" s="155">
        <f t="shared" si="1"/>
        <v>-441945.06999999995</v>
      </c>
    </row>
    <row r="50" spans="1:5" ht="12.75">
      <c r="A50" s="41" t="s">
        <v>122</v>
      </c>
      <c r="B50" s="152">
        <v>753840</v>
      </c>
      <c r="C50" s="162">
        <v>438765.89</v>
      </c>
      <c r="D50" s="154">
        <f t="shared" si="0"/>
        <v>58.20411360500902</v>
      </c>
      <c r="E50" s="155">
        <f t="shared" si="1"/>
        <v>-315074.11</v>
      </c>
    </row>
    <row r="51" spans="1:5" ht="12.75">
      <c r="A51" s="85" t="s">
        <v>288</v>
      </c>
      <c r="B51" s="152">
        <v>100</v>
      </c>
      <c r="C51" s="162">
        <v>100</v>
      </c>
      <c r="D51" s="154">
        <f>IF(B51=0,"   ",C51/B51*100)</f>
        <v>100</v>
      </c>
      <c r="E51" s="155">
        <f>C51-B51</f>
        <v>0</v>
      </c>
    </row>
    <row r="52" spans="1:5" ht="12.75">
      <c r="A52" s="41" t="s">
        <v>95</v>
      </c>
      <c r="B52" s="152">
        <v>500</v>
      </c>
      <c r="C52" s="153">
        <v>0</v>
      </c>
      <c r="D52" s="154">
        <f t="shared" si="0"/>
        <v>0</v>
      </c>
      <c r="E52" s="155">
        <f t="shared" si="1"/>
        <v>-500</v>
      </c>
    </row>
    <row r="53" spans="1:5" ht="12.75">
      <c r="A53" s="41" t="s">
        <v>52</v>
      </c>
      <c r="B53" s="153">
        <f>SUM(B54)</f>
        <v>0</v>
      </c>
      <c r="C53" s="153">
        <f>SUM(C54)</f>
        <v>0</v>
      </c>
      <c r="D53" s="154" t="str">
        <f t="shared" si="0"/>
        <v>   </v>
      </c>
      <c r="E53" s="155">
        <f t="shared" si="1"/>
        <v>0</v>
      </c>
    </row>
    <row r="54" spans="1:5" ht="26.25">
      <c r="A54" s="105" t="s">
        <v>248</v>
      </c>
      <c r="B54" s="152">
        <v>0</v>
      </c>
      <c r="C54" s="153">
        <v>0</v>
      </c>
      <c r="D54" s="154" t="str">
        <f t="shared" si="0"/>
        <v>   </v>
      </c>
      <c r="E54" s="155">
        <f t="shared" si="1"/>
        <v>0</v>
      </c>
    </row>
    <row r="55" spans="1:5" ht="16.5" customHeight="1">
      <c r="A55" s="41" t="s">
        <v>49</v>
      </c>
      <c r="B55" s="153">
        <f>SUM(B56)</f>
        <v>90300</v>
      </c>
      <c r="C55" s="153">
        <f>SUM(C56)</f>
        <v>59571.62</v>
      </c>
      <c r="D55" s="154">
        <f t="shared" si="0"/>
        <v>65.97078626799558</v>
      </c>
      <c r="E55" s="155">
        <f t="shared" si="1"/>
        <v>-30728.379999999997</v>
      </c>
    </row>
    <row r="56" spans="1:5" ht="17.25" customHeight="1">
      <c r="A56" s="39" t="s">
        <v>107</v>
      </c>
      <c r="B56" s="152">
        <v>90300</v>
      </c>
      <c r="C56" s="153">
        <v>59571.62</v>
      </c>
      <c r="D56" s="154">
        <f t="shared" si="0"/>
        <v>65.97078626799558</v>
      </c>
      <c r="E56" s="155">
        <f t="shared" si="1"/>
        <v>-30728.379999999997</v>
      </c>
    </row>
    <row r="57" spans="1:5" ht="22.5" customHeight="1">
      <c r="A57" s="41" t="s">
        <v>37</v>
      </c>
      <c r="B57" s="152">
        <f>SUM(B58)</f>
        <v>1000</v>
      </c>
      <c r="C57" s="153">
        <f>SUM(C58)</f>
        <v>1000</v>
      </c>
      <c r="D57" s="154">
        <f t="shared" si="0"/>
        <v>100</v>
      </c>
      <c r="E57" s="155">
        <f t="shared" si="1"/>
        <v>0</v>
      </c>
    </row>
    <row r="58" spans="1:5" ht="17.25" customHeight="1">
      <c r="A58" s="75" t="s">
        <v>128</v>
      </c>
      <c r="B58" s="152">
        <v>1000</v>
      </c>
      <c r="C58" s="153">
        <v>1000</v>
      </c>
      <c r="D58" s="154">
        <f t="shared" si="0"/>
        <v>100</v>
      </c>
      <c r="E58" s="155">
        <f t="shared" si="1"/>
        <v>0</v>
      </c>
    </row>
    <row r="59" spans="1:5" ht="18.75" customHeight="1">
      <c r="A59" s="41" t="s">
        <v>38</v>
      </c>
      <c r="B59" s="152">
        <f>B65+B60+B73+B63</f>
        <v>1497303.4100000001</v>
      </c>
      <c r="C59" s="152">
        <f>C65+C60+C73+C63</f>
        <v>1058680</v>
      </c>
      <c r="D59" s="154">
        <f t="shared" si="0"/>
        <v>70.70577632625574</v>
      </c>
      <c r="E59" s="155">
        <f t="shared" si="1"/>
        <v>-438623.41000000015</v>
      </c>
    </row>
    <row r="60" spans="1:5" ht="18.75" customHeight="1">
      <c r="A60" s="75" t="s">
        <v>165</v>
      </c>
      <c r="B60" s="25">
        <f>SUM(B61,B62)</f>
        <v>6600</v>
      </c>
      <c r="C60" s="152">
        <f>SUM(C61,C62)</f>
        <v>0</v>
      </c>
      <c r="D60" s="154">
        <f>IF(B60=0,"   ",C60/B60*100)</f>
        <v>0</v>
      </c>
      <c r="E60" s="155">
        <f>C60-B60</f>
        <v>-6600</v>
      </c>
    </row>
    <row r="61" spans="1:5" ht="18.75" customHeight="1">
      <c r="A61" s="75" t="s">
        <v>166</v>
      </c>
      <c r="B61" s="25">
        <v>6600</v>
      </c>
      <c r="C61" s="152">
        <v>0</v>
      </c>
      <c r="D61" s="154">
        <f>IF(B61=0,"   ",C61/B61*100)</f>
        <v>0</v>
      </c>
      <c r="E61" s="155">
        <f>C61-B61</f>
        <v>-6600</v>
      </c>
    </row>
    <row r="62" spans="1:5" ht="18.75" customHeight="1">
      <c r="A62" s="75" t="s">
        <v>189</v>
      </c>
      <c r="B62" s="25">
        <v>0</v>
      </c>
      <c r="C62" s="152">
        <v>0</v>
      </c>
      <c r="D62" s="154" t="str">
        <f>IF(B62=0,"   ",C62/B62*100)</f>
        <v>   </v>
      </c>
      <c r="E62" s="155">
        <f>C62-B62</f>
        <v>0</v>
      </c>
    </row>
    <row r="63" spans="1:5" ht="18.75" customHeight="1">
      <c r="A63" s="75" t="s">
        <v>231</v>
      </c>
      <c r="B63" s="25">
        <f>SUM(B64)</f>
        <v>98079.82</v>
      </c>
      <c r="C63" s="25">
        <f>SUM(C64)</f>
        <v>0</v>
      </c>
      <c r="D63" s="154">
        <f>IF(B63=0,"   ",C63/B63*100)</f>
        <v>0</v>
      </c>
      <c r="E63" s="155">
        <f>C63-B63</f>
        <v>-98079.82</v>
      </c>
    </row>
    <row r="64" spans="1:5" ht="18.75" customHeight="1">
      <c r="A64" s="75" t="s">
        <v>232</v>
      </c>
      <c r="B64" s="25">
        <v>98079.82</v>
      </c>
      <c r="C64" s="152">
        <v>0</v>
      </c>
      <c r="D64" s="154">
        <f>IF(B64=0,"   ",C64/B64*100)</f>
        <v>0</v>
      </c>
      <c r="E64" s="155">
        <f>C64-B64</f>
        <v>-98079.82</v>
      </c>
    </row>
    <row r="65" spans="1:5" ht="12.75">
      <c r="A65" s="96" t="s">
        <v>131</v>
      </c>
      <c r="B65" s="152">
        <f>SUM(B66:B72)</f>
        <v>1345623.59</v>
      </c>
      <c r="C65" s="152">
        <f>SUM(C66:C72)</f>
        <v>1012180</v>
      </c>
      <c r="D65" s="154">
        <f t="shared" si="0"/>
        <v>75.22014384423804</v>
      </c>
      <c r="E65" s="155">
        <f t="shared" si="1"/>
        <v>-333443.5900000001</v>
      </c>
    </row>
    <row r="66" spans="1:5" ht="16.5" customHeight="1">
      <c r="A66" s="75" t="s">
        <v>149</v>
      </c>
      <c r="B66" s="152">
        <v>0</v>
      </c>
      <c r="C66" s="152">
        <v>0</v>
      </c>
      <c r="D66" s="154" t="str">
        <f t="shared" si="0"/>
        <v>   </v>
      </c>
      <c r="E66" s="155">
        <f t="shared" si="1"/>
        <v>0</v>
      </c>
    </row>
    <row r="67" spans="1:5" ht="27" customHeight="1">
      <c r="A67" s="71" t="s">
        <v>257</v>
      </c>
      <c r="B67" s="152">
        <v>475523.59</v>
      </c>
      <c r="C67" s="152">
        <v>326000</v>
      </c>
      <c r="D67" s="154">
        <f>IF(B67=0,"   ",C67/B67*100)</f>
        <v>68.5560100183463</v>
      </c>
      <c r="E67" s="155">
        <f>C67-B67</f>
        <v>-149523.59000000003</v>
      </c>
    </row>
    <row r="68" spans="1:5" ht="26.25">
      <c r="A68" s="71" t="s">
        <v>258</v>
      </c>
      <c r="B68" s="152">
        <v>18300</v>
      </c>
      <c r="C68" s="152">
        <v>0</v>
      </c>
      <c r="D68" s="154">
        <f t="shared" si="0"/>
        <v>0</v>
      </c>
      <c r="E68" s="155">
        <f t="shared" si="1"/>
        <v>-18300</v>
      </c>
    </row>
    <row r="69" spans="1:5" ht="26.25">
      <c r="A69" s="71" t="s">
        <v>259</v>
      </c>
      <c r="B69" s="152">
        <v>455900</v>
      </c>
      <c r="C69" s="152">
        <v>455900</v>
      </c>
      <c r="D69" s="154">
        <f t="shared" si="0"/>
        <v>100</v>
      </c>
      <c r="E69" s="155">
        <f t="shared" si="1"/>
        <v>0</v>
      </c>
    </row>
    <row r="70" spans="1:5" ht="26.25">
      <c r="A70" s="71" t="s">
        <v>260</v>
      </c>
      <c r="B70" s="152">
        <v>50700</v>
      </c>
      <c r="C70" s="152">
        <v>50700</v>
      </c>
      <c r="D70" s="154">
        <f t="shared" si="0"/>
        <v>100</v>
      </c>
      <c r="E70" s="155">
        <f t="shared" si="1"/>
        <v>0</v>
      </c>
    </row>
    <row r="71" spans="1:5" ht="26.25">
      <c r="A71" s="71" t="s">
        <v>261</v>
      </c>
      <c r="B71" s="152">
        <v>310600</v>
      </c>
      <c r="C71" s="152">
        <v>161622</v>
      </c>
      <c r="D71" s="154">
        <f t="shared" si="0"/>
        <v>52.035415325177084</v>
      </c>
      <c r="E71" s="155">
        <f t="shared" si="1"/>
        <v>-148978</v>
      </c>
    </row>
    <row r="72" spans="1:5" ht="27" thickBot="1">
      <c r="A72" s="71" t="s">
        <v>262</v>
      </c>
      <c r="B72" s="152">
        <v>34600</v>
      </c>
      <c r="C72" s="152">
        <v>17958</v>
      </c>
      <c r="D72" s="154">
        <f t="shared" si="0"/>
        <v>51.90173410404624</v>
      </c>
      <c r="E72" s="155">
        <f t="shared" si="1"/>
        <v>-16642</v>
      </c>
    </row>
    <row r="73" spans="1:5" ht="13.5" thickBot="1">
      <c r="A73" s="96" t="s">
        <v>177</v>
      </c>
      <c r="B73" s="99">
        <f>SUM(B74)</f>
        <v>47000</v>
      </c>
      <c r="C73" s="99">
        <f>SUM(C74)</f>
        <v>46500</v>
      </c>
      <c r="D73" s="154">
        <f>IF(B73=0,"   ",C73/B73*100)</f>
        <v>98.93617021276596</v>
      </c>
      <c r="E73" s="155">
        <f>C73-B73</f>
        <v>-500</v>
      </c>
    </row>
    <row r="74" spans="1:5" ht="26.25">
      <c r="A74" s="75" t="s">
        <v>178</v>
      </c>
      <c r="B74" s="152">
        <v>47000</v>
      </c>
      <c r="C74" s="152">
        <v>46500</v>
      </c>
      <c r="D74" s="154">
        <f>IF(B74=0,"   ",C74/B74*100)</f>
        <v>98.93617021276596</v>
      </c>
      <c r="E74" s="155">
        <f>C74-B74</f>
        <v>-500</v>
      </c>
    </row>
    <row r="75" spans="1:5" ht="21.75" customHeight="1">
      <c r="A75" s="41" t="s">
        <v>13</v>
      </c>
      <c r="B75" s="152">
        <f>B85+B76</f>
        <v>2790008.16</v>
      </c>
      <c r="C75" s="152">
        <f>C85+C76</f>
        <v>133825.18</v>
      </c>
      <c r="D75" s="154">
        <f t="shared" si="0"/>
        <v>4.7965874049630015</v>
      </c>
      <c r="E75" s="155">
        <f t="shared" si="1"/>
        <v>-2656182.98</v>
      </c>
    </row>
    <row r="76" spans="1:5" ht="17.25" customHeight="1">
      <c r="A76" s="41" t="s">
        <v>150</v>
      </c>
      <c r="B76" s="152">
        <f>B80+B77+B78+B79</f>
        <v>1673352.18</v>
      </c>
      <c r="C76" s="152">
        <f>C80+C77+C78+C79</f>
        <v>26610.18</v>
      </c>
      <c r="D76" s="154">
        <f aca="true" t="shared" si="2" ref="D76:D84">IF(B76=0,"   ",C76/B76*100)</f>
        <v>1.590231890097397</v>
      </c>
      <c r="E76" s="155">
        <f aca="true" t="shared" si="3" ref="E76:E84">C76-B76</f>
        <v>-1646742</v>
      </c>
    </row>
    <row r="77" spans="1:5" ht="28.5" customHeight="1">
      <c r="A77" s="16" t="s">
        <v>195</v>
      </c>
      <c r="B77" s="152">
        <v>6610.18</v>
      </c>
      <c r="C77" s="152">
        <v>6610.18</v>
      </c>
      <c r="D77" s="154">
        <f t="shared" si="2"/>
        <v>100</v>
      </c>
      <c r="E77" s="155">
        <f t="shared" si="3"/>
        <v>0</v>
      </c>
    </row>
    <row r="78" spans="1:5" ht="17.25" customHeight="1">
      <c r="A78" s="105" t="s">
        <v>292</v>
      </c>
      <c r="B78" s="152">
        <v>20000</v>
      </c>
      <c r="C78" s="152">
        <v>20000</v>
      </c>
      <c r="D78" s="154">
        <f t="shared" si="2"/>
        <v>100</v>
      </c>
      <c r="E78" s="155">
        <f t="shared" si="3"/>
        <v>0</v>
      </c>
    </row>
    <row r="79" spans="1:5" ht="17.25" customHeight="1">
      <c r="A79" s="16" t="s">
        <v>301</v>
      </c>
      <c r="B79" s="152">
        <v>1544150</v>
      </c>
      <c r="C79" s="152">
        <v>0</v>
      </c>
      <c r="D79" s="154">
        <f t="shared" si="2"/>
        <v>0</v>
      </c>
      <c r="E79" s="155">
        <f t="shared" si="3"/>
        <v>-1544150</v>
      </c>
    </row>
    <row r="80" spans="1:5" ht="17.25" customHeight="1">
      <c r="A80" s="16" t="s">
        <v>306</v>
      </c>
      <c r="B80" s="152">
        <v>102592</v>
      </c>
      <c r="C80" s="152">
        <v>0</v>
      </c>
      <c r="D80" s="154">
        <f t="shared" si="2"/>
        <v>0</v>
      </c>
      <c r="E80" s="155">
        <f t="shared" si="3"/>
        <v>-102592</v>
      </c>
    </row>
    <row r="81" spans="1:5" ht="28.5" customHeight="1">
      <c r="A81" s="105" t="s">
        <v>293</v>
      </c>
      <c r="B81" s="152">
        <f>SUM(B82:B84)</f>
        <v>0</v>
      </c>
      <c r="C81" s="152">
        <f>SUM(C82:C84)</f>
        <v>0</v>
      </c>
      <c r="D81" s="154" t="str">
        <f t="shared" si="2"/>
        <v>   </v>
      </c>
      <c r="E81" s="155">
        <f t="shared" si="3"/>
        <v>0</v>
      </c>
    </row>
    <row r="82" spans="1:5" ht="28.5" customHeight="1">
      <c r="A82" s="105" t="s">
        <v>187</v>
      </c>
      <c r="B82" s="153">
        <v>0</v>
      </c>
      <c r="C82" s="153">
        <v>0</v>
      </c>
      <c r="D82" s="154" t="str">
        <f t="shared" si="2"/>
        <v>   </v>
      </c>
      <c r="E82" s="155">
        <f t="shared" si="3"/>
        <v>0</v>
      </c>
    </row>
    <row r="83" spans="1:5" ht="27.75" customHeight="1">
      <c r="A83" s="105" t="s">
        <v>200</v>
      </c>
      <c r="B83" s="153">
        <v>0</v>
      </c>
      <c r="C83" s="153">
        <v>0</v>
      </c>
      <c r="D83" s="154" t="str">
        <f t="shared" si="2"/>
        <v>   </v>
      </c>
      <c r="E83" s="155">
        <f t="shared" si="3"/>
        <v>0</v>
      </c>
    </row>
    <row r="84" spans="1:5" ht="22.5" customHeight="1">
      <c r="A84" s="105" t="s">
        <v>212</v>
      </c>
      <c r="B84" s="153">
        <v>0</v>
      </c>
      <c r="C84" s="153">
        <v>0</v>
      </c>
      <c r="D84" s="154" t="str">
        <f t="shared" si="2"/>
        <v>   </v>
      </c>
      <c r="E84" s="155">
        <f t="shared" si="3"/>
        <v>0</v>
      </c>
    </row>
    <row r="85" spans="1:5" ht="12.75">
      <c r="A85" s="41" t="s">
        <v>63</v>
      </c>
      <c r="B85" s="152">
        <f>B86+B87+B88+B92</f>
        <v>1116655.98</v>
      </c>
      <c r="C85" s="152">
        <f>C86+C87+C88+C92</f>
        <v>107215</v>
      </c>
      <c r="D85" s="154">
        <f t="shared" si="0"/>
        <v>9.601435170749724</v>
      </c>
      <c r="E85" s="155">
        <f t="shared" si="1"/>
        <v>-1009440.98</v>
      </c>
    </row>
    <row r="86" spans="1:5" ht="12.75">
      <c r="A86" s="41" t="s">
        <v>62</v>
      </c>
      <c r="B86" s="152">
        <v>60000</v>
      </c>
      <c r="C86" s="153">
        <v>42000</v>
      </c>
      <c r="D86" s="154">
        <f t="shared" si="0"/>
        <v>70</v>
      </c>
      <c r="E86" s="155">
        <f t="shared" si="1"/>
        <v>-18000</v>
      </c>
    </row>
    <row r="87" spans="1:5" ht="12.75">
      <c r="A87" s="41" t="s">
        <v>130</v>
      </c>
      <c r="B87" s="152">
        <v>91440.98</v>
      </c>
      <c r="C87" s="152">
        <v>0</v>
      </c>
      <c r="D87" s="154">
        <f t="shared" si="0"/>
        <v>0</v>
      </c>
      <c r="E87" s="155">
        <f t="shared" si="1"/>
        <v>-91440.98</v>
      </c>
    </row>
    <row r="88" spans="1:5" ht="12.75">
      <c r="A88" s="105" t="s">
        <v>206</v>
      </c>
      <c r="B88" s="152">
        <f>SUM(B89:B91)</f>
        <v>65215</v>
      </c>
      <c r="C88" s="152">
        <f>SUM(C89:C91)</f>
        <v>65215</v>
      </c>
      <c r="D88" s="154">
        <f t="shared" si="0"/>
        <v>100</v>
      </c>
      <c r="E88" s="155">
        <f t="shared" si="1"/>
        <v>0</v>
      </c>
    </row>
    <row r="89" spans="1:5" ht="26.25">
      <c r="A89" s="105" t="s">
        <v>187</v>
      </c>
      <c r="B89" s="152">
        <v>39129</v>
      </c>
      <c r="C89" s="152">
        <v>39129</v>
      </c>
      <c r="D89" s="154">
        <f t="shared" si="0"/>
        <v>100</v>
      </c>
      <c r="E89" s="155">
        <f t="shared" si="1"/>
        <v>0</v>
      </c>
    </row>
    <row r="90" spans="1:5" ht="26.25">
      <c r="A90" s="105" t="s">
        <v>200</v>
      </c>
      <c r="B90" s="152">
        <v>13043</v>
      </c>
      <c r="C90" s="152">
        <v>13043</v>
      </c>
      <c r="D90" s="154">
        <f>IF(B90=0,"   ",C90/B90*100)</f>
        <v>100</v>
      </c>
      <c r="E90" s="155">
        <f>C90-B90</f>
        <v>0</v>
      </c>
    </row>
    <row r="91" spans="1:5" ht="26.25">
      <c r="A91" s="105" t="s">
        <v>212</v>
      </c>
      <c r="B91" s="152">
        <v>13043</v>
      </c>
      <c r="C91" s="152">
        <v>13043</v>
      </c>
      <c r="D91" s="154">
        <f>IF(B91=0,"   ",C91/B91*100)</f>
        <v>100</v>
      </c>
      <c r="E91" s="155">
        <f>C91-B91</f>
        <v>0</v>
      </c>
    </row>
    <row r="92" spans="1:5" ht="26.25">
      <c r="A92" s="105" t="s">
        <v>302</v>
      </c>
      <c r="B92" s="152">
        <v>900000</v>
      </c>
      <c r="C92" s="152">
        <v>0</v>
      </c>
      <c r="D92" s="154">
        <f>IF(B92=0,"   ",C92/B92*100)</f>
        <v>0</v>
      </c>
      <c r="E92" s="155">
        <f>C92-B92</f>
        <v>-900000</v>
      </c>
    </row>
    <row r="93" spans="1:5" ht="21.75" customHeight="1">
      <c r="A93" s="18" t="s">
        <v>17</v>
      </c>
      <c r="B93" s="152">
        <v>8000</v>
      </c>
      <c r="C93" s="152">
        <v>8000</v>
      </c>
      <c r="D93" s="154">
        <f t="shared" si="0"/>
        <v>100</v>
      </c>
      <c r="E93" s="155">
        <f t="shared" si="1"/>
        <v>0</v>
      </c>
    </row>
    <row r="94" spans="1:5" ht="22.5" customHeight="1">
      <c r="A94" s="41" t="s">
        <v>41</v>
      </c>
      <c r="B94" s="160">
        <f>B95</f>
        <v>237600</v>
      </c>
      <c r="C94" s="160">
        <f>C95</f>
        <v>115090</v>
      </c>
      <c r="D94" s="154">
        <f t="shared" si="0"/>
        <v>48.43855218855219</v>
      </c>
      <c r="E94" s="155">
        <f t="shared" si="1"/>
        <v>-122510</v>
      </c>
    </row>
    <row r="95" spans="1:5" ht="12.75">
      <c r="A95" s="41" t="s">
        <v>42</v>
      </c>
      <c r="B95" s="152">
        <f>SUM(B96:B97)</f>
        <v>237600</v>
      </c>
      <c r="C95" s="152">
        <f>SUM(C96:C97)</f>
        <v>115090</v>
      </c>
      <c r="D95" s="154">
        <f t="shared" si="0"/>
        <v>48.43855218855219</v>
      </c>
      <c r="E95" s="155">
        <f t="shared" si="1"/>
        <v>-122510</v>
      </c>
    </row>
    <row r="96" spans="1:5" ht="12.75">
      <c r="A96" s="169" t="s">
        <v>143</v>
      </c>
      <c r="B96" s="152">
        <v>111600</v>
      </c>
      <c r="C96" s="153">
        <v>111600</v>
      </c>
      <c r="D96" s="154">
        <f t="shared" si="0"/>
        <v>100</v>
      </c>
      <c r="E96" s="155">
        <f t="shared" si="1"/>
        <v>0</v>
      </c>
    </row>
    <row r="97" spans="1:5" ht="12.75">
      <c r="A97" s="117" t="s">
        <v>204</v>
      </c>
      <c r="B97" s="152">
        <v>126000</v>
      </c>
      <c r="C97" s="153">
        <v>3490</v>
      </c>
      <c r="D97" s="154">
        <f t="shared" si="0"/>
        <v>2.7698412698412698</v>
      </c>
      <c r="E97" s="155">
        <f t="shared" si="1"/>
        <v>-122510</v>
      </c>
    </row>
    <row r="98" spans="1:5" ht="16.5" customHeight="1">
      <c r="A98" s="41" t="s">
        <v>124</v>
      </c>
      <c r="B98" s="152">
        <f>SUM(B99,)</f>
        <v>4000</v>
      </c>
      <c r="C98" s="152">
        <f>SUM(C99,)</f>
        <v>0</v>
      </c>
      <c r="D98" s="154">
        <f t="shared" si="0"/>
        <v>0</v>
      </c>
      <c r="E98" s="155">
        <f t="shared" si="1"/>
        <v>-4000</v>
      </c>
    </row>
    <row r="99" spans="1:5" ht="12.75">
      <c r="A99" s="41" t="s">
        <v>43</v>
      </c>
      <c r="B99" s="152">
        <v>4000</v>
      </c>
      <c r="C99" s="162">
        <v>0</v>
      </c>
      <c r="D99" s="154">
        <f t="shared" si="0"/>
        <v>0</v>
      </c>
      <c r="E99" s="155">
        <f t="shared" si="1"/>
        <v>-4000</v>
      </c>
    </row>
    <row r="100" spans="1:5" ht="28.5" customHeight="1">
      <c r="A100" s="173" t="s">
        <v>15</v>
      </c>
      <c r="B100" s="150">
        <f>SUM(B48,B55,B57,B59,B75,B93,B94,B98,)</f>
        <v>5758211.57</v>
      </c>
      <c r="C100" s="150">
        <f>SUM(C48,C55,C57,C59,C75,C93,C94,C98,)</f>
        <v>2063721.73</v>
      </c>
      <c r="D100" s="141">
        <f>IF(B100=0,"   ",C100/B100*100)</f>
        <v>35.839630150998424</v>
      </c>
      <c r="E100" s="142">
        <f t="shared" si="1"/>
        <v>-3694489.8400000003</v>
      </c>
    </row>
    <row r="101" spans="1:5" s="59" customFormat="1" ht="23.25" customHeight="1">
      <c r="A101" s="80" t="s">
        <v>304</v>
      </c>
      <c r="B101" s="80"/>
      <c r="C101" s="309"/>
      <c r="D101" s="309"/>
      <c r="E101" s="309"/>
    </row>
    <row r="102" spans="1:5" s="59" customFormat="1" ht="12" customHeight="1">
      <c r="A102" s="80" t="s">
        <v>154</v>
      </c>
      <c r="B102" s="80"/>
      <c r="C102" s="81" t="s">
        <v>247</v>
      </c>
      <c r="D102" s="82"/>
      <c r="E102" s="83"/>
    </row>
    <row r="103" spans="1:5" ht="12.75">
      <c r="A103" s="7"/>
      <c r="B103" s="7"/>
      <c r="C103" s="6"/>
      <c r="D103" s="7"/>
      <c r="E103" s="2"/>
    </row>
    <row r="104" spans="1:5" ht="12.75">
      <c r="A104" s="7"/>
      <c r="B104" s="7"/>
      <c r="C104" s="6"/>
      <c r="D104" s="7"/>
      <c r="E104" s="2"/>
    </row>
    <row r="105" spans="1:5" ht="12.75">
      <c r="A105" s="7"/>
      <c r="B105" s="7"/>
      <c r="C105" s="6"/>
      <c r="D105" s="7"/>
      <c r="E105" s="2"/>
    </row>
    <row r="106" spans="1:5" ht="12.75">
      <c r="A106" s="7"/>
      <c r="B106" s="7"/>
      <c r="C106" s="6"/>
      <c r="D106" s="7"/>
      <c r="E106" s="2"/>
    </row>
  </sheetData>
  <sheetProtection/>
  <mergeCells count="2">
    <mergeCell ref="A1:E1"/>
    <mergeCell ref="C101:E101"/>
  </mergeCells>
  <printOptions/>
  <pageMargins left="1.1811023622047245" right="0.7874015748031497" top="0.5905511811023623" bottom="0.5118110236220472" header="0.5118110236220472" footer="0.5118110236220472"/>
  <pageSetup fitToHeight="2" fitToWidth="1"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0"/>
  <sheetViews>
    <sheetView zoomScalePageLayoutView="0" workbookViewId="0" topLeftCell="A40">
      <selection activeCell="C53" sqref="C53"/>
    </sheetView>
  </sheetViews>
  <sheetFormatPr defaultColWidth="9.00390625" defaultRowHeight="12.75"/>
  <cols>
    <col min="1" max="1" width="105.50390625" style="0" customWidth="1"/>
    <col min="2" max="2" width="16.00390625" style="0" customWidth="1"/>
    <col min="3" max="3" width="18.125" style="0" customWidth="1"/>
    <col min="4" max="4" width="20.125" style="0" customWidth="1"/>
    <col min="5" max="5" width="16.375" style="0" customWidth="1"/>
  </cols>
  <sheetData>
    <row r="1" spans="1:5" ht="17.25">
      <c r="A1" s="311" t="s">
        <v>320</v>
      </c>
      <c r="B1" s="311"/>
      <c r="C1" s="311"/>
      <c r="D1" s="311"/>
      <c r="E1" s="311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62.25" customHeight="1">
      <c r="A4" s="34" t="s">
        <v>1</v>
      </c>
      <c r="B4" s="19" t="s">
        <v>251</v>
      </c>
      <c r="C4" s="32" t="s">
        <v>317</v>
      </c>
      <c r="D4" s="19" t="s">
        <v>255</v>
      </c>
      <c r="E4" s="36" t="s">
        <v>253</v>
      </c>
    </row>
    <row r="5" spans="1:5" ht="12.75">
      <c r="A5" s="13">
        <v>1</v>
      </c>
      <c r="B5" s="74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9.5" customHeight="1">
      <c r="A7" s="151" t="s">
        <v>45</v>
      </c>
      <c r="B7" s="149">
        <f>SUM(B8)</f>
        <v>10190400</v>
      </c>
      <c r="C7" s="149">
        <f>SUM(C8)</f>
        <v>8091967</v>
      </c>
      <c r="D7" s="139">
        <f aca="true" t="shared" si="0" ref="D7:D110">IF(B7=0,"   ",C7/B7*100)</f>
        <v>79.40774650651593</v>
      </c>
      <c r="E7" s="140">
        <f aca="true" t="shared" si="1" ref="E7:E144">C7-B7</f>
        <v>-2098433</v>
      </c>
    </row>
    <row r="8" spans="1:5" ht="12.75">
      <c r="A8" s="85" t="s">
        <v>44</v>
      </c>
      <c r="B8" s="84">
        <v>10190400</v>
      </c>
      <c r="C8" s="244">
        <v>8091967</v>
      </c>
      <c r="D8" s="139">
        <f t="shared" si="0"/>
        <v>79.40774650651593</v>
      </c>
      <c r="E8" s="140">
        <f t="shared" si="1"/>
        <v>-2098433</v>
      </c>
    </row>
    <row r="9" spans="1:5" ht="18.75" customHeight="1">
      <c r="A9" s="151" t="s">
        <v>137</v>
      </c>
      <c r="B9" s="232">
        <f>SUM(B10)</f>
        <v>1410500</v>
      </c>
      <c r="C9" s="232">
        <f>SUM(C10)</f>
        <v>1115827.51</v>
      </c>
      <c r="D9" s="139">
        <f t="shared" si="0"/>
        <v>79.10865012406948</v>
      </c>
      <c r="E9" s="140">
        <f t="shared" si="1"/>
        <v>-294672.49</v>
      </c>
    </row>
    <row r="10" spans="1:5" ht="12.75">
      <c r="A10" s="85" t="s">
        <v>138</v>
      </c>
      <c r="B10" s="233">
        <v>1410500</v>
      </c>
      <c r="C10" s="244">
        <v>1115827.51</v>
      </c>
      <c r="D10" s="139">
        <f t="shared" si="0"/>
        <v>79.10865012406948</v>
      </c>
      <c r="E10" s="140">
        <f t="shared" si="1"/>
        <v>-294672.49</v>
      </c>
    </row>
    <row r="11" spans="1:5" ht="17.25" customHeight="1">
      <c r="A11" s="85" t="s">
        <v>7</v>
      </c>
      <c r="B11" s="233">
        <f>SUM(B12:B12)</f>
        <v>0</v>
      </c>
      <c r="C11" s="232">
        <f>SUM(C12)</f>
        <v>0</v>
      </c>
      <c r="D11" s="139" t="str">
        <f t="shared" si="0"/>
        <v>   </v>
      </c>
      <c r="E11" s="140">
        <f t="shared" si="1"/>
        <v>0</v>
      </c>
    </row>
    <row r="12" spans="1:5" ht="12.75">
      <c r="A12" s="85" t="s">
        <v>26</v>
      </c>
      <c r="B12" s="233">
        <v>0</v>
      </c>
      <c r="C12" s="244">
        <v>0</v>
      </c>
      <c r="D12" s="139" t="str">
        <f t="shared" si="0"/>
        <v>   </v>
      </c>
      <c r="E12" s="140">
        <f t="shared" si="1"/>
        <v>0</v>
      </c>
    </row>
    <row r="13" spans="1:5" ht="16.5" customHeight="1">
      <c r="A13" s="85" t="s">
        <v>9</v>
      </c>
      <c r="B13" s="233">
        <f>SUM(B14:B15)</f>
        <v>5858000</v>
      </c>
      <c r="C13" s="233">
        <f>SUM(C14:C15)</f>
        <v>2601589.48</v>
      </c>
      <c r="D13" s="139">
        <f t="shared" si="0"/>
        <v>44.41088221235916</v>
      </c>
      <c r="E13" s="140">
        <f t="shared" si="1"/>
        <v>-3256410.52</v>
      </c>
    </row>
    <row r="14" spans="1:5" ht="12.75">
      <c r="A14" s="85" t="s">
        <v>27</v>
      </c>
      <c r="B14" s="233">
        <v>3405000</v>
      </c>
      <c r="C14" s="244">
        <v>925009.07</v>
      </c>
      <c r="D14" s="139">
        <f t="shared" si="0"/>
        <v>27.16619882525697</v>
      </c>
      <c r="E14" s="140">
        <f t="shared" si="1"/>
        <v>-2479990.93</v>
      </c>
    </row>
    <row r="15" spans="1:5" ht="12.75">
      <c r="A15" s="41" t="s">
        <v>160</v>
      </c>
      <c r="B15" s="31">
        <f>SUM(B16:B17)</f>
        <v>2453000</v>
      </c>
      <c r="C15" s="31">
        <f>SUM(C16:C17)</f>
        <v>1676580.41</v>
      </c>
      <c r="D15" s="139">
        <f t="shared" si="0"/>
        <v>68.34816184264166</v>
      </c>
      <c r="E15" s="140">
        <f t="shared" si="1"/>
        <v>-776419.5900000001</v>
      </c>
    </row>
    <row r="16" spans="1:5" ht="12.75">
      <c r="A16" s="41" t="s">
        <v>161</v>
      </c>
      <c r="B16" s="152">
        <v>974000</v>
      </c>
      <c r="C16" s="244">
        <v>962426.34</v>
      </c>
      <c r="D16" s="139">
        <f t="shared" si="0"/>
        <v>98.81173921971252</v>
      </c>
      <c r="E16" s="140">
        <f t="shared" si="1"/>
        <v>-11573.660000000033</v>
      </c>
    </row>
    <row r="17" spans="1:5" ht="12.75">
      <c r="A17" s="41" t="s">
        <v>162</v>
      </c>
      <c r="B17" s="233">
        <v>1479000</v>
      </c>
      <c r="C17" s="244">
        <v>714154.07</v>
      </c>
      <c r="D17" s="139">
        <f t="shared" si="0"/>
        <v>48.286279242731574</v>
      </c>
      <c r="E17" s="140">
        <f t="shared" si="1"/>
        <v>-764845.93</v>
      </c>
    </row>
    <row r="18" spans="1:5" ht="12.75">
      <c r="A18" s="85" t="s">
        <v>89</v>
      </c>
      <c r="B18" s="233">
        <v>0</v>
      </c>
      <c r="C18" s="234">
        <v>0</v>
      </c>
      <c r="D18" s="139" t="str">
        <f t="shared" si="0"/>
        <v>   </v>
      </c>
      <c r="E18" s="140">
        <f t="shared" si="1"/>
        <v>0</v>
      </c>
    </row>
    <row r="19" spans="1:5" ht="27" customHeight="1">
      <c r="A19" s="85" t="s">
        <v>28</v>
      </c>
      <c r="B19" s="233">
        <f>SUM(B20:B23)</f>
        <v>1681700</v>
      </c>
      <c r="C19" s="233">
        <f>SUM(C20:C23)</f>
        <v>445916.64</v>
      </c>
      <c r="D19" s="139">
        <f t="shared" si="0"/>
        <v>26.51582565261343</v>
      </c>
      <c r="E19" s="140">
        <f t="shared" si="1"/>
        <v>-1235783.3599999999</v>
      </c>
    </row>
    <row r="20" spans="1:5" ht="12.75">
      <c r="A20" s="86" t="s">
        <v>153</v>
      </c>
      <c r="B20" s="233">
        <v>1180000</v>
      </c>
      <c r="C20" s="244">
        <v>362113.03</v>
      </c>
      <c r="D20" s="154">
        <f t="shared" si="0"/>
        <v>30.68754491525424</v>
      </c>
      <c r="E20" s="155">
        <f t="shared" si="1"/>
        <v>-817886.97</v>
      </c>
    </row>
    <row r="21" spans="1:5" ht="12.75">
      <c r="A21" s="41" t="s">
        <v>152</v>
      </c>
      <c r="B21" s="233">
        <v>0</v>
      </c>
      <c r="C21" s="234">
        <v>0</v>
      </c>
      <c r="D21" s="154" t="str">
        <f t="shared" si="0"/>
        <v>   </v>
      </c>
      <c r="E21" s="155">
        <f t="shared" si="1"/>
        <v>0</v>
      </c>
    </row>
    <row r="22" spans="1:5" ht="24" customHeight="1">
      <c r="A22" s="156" t="s">
        <v>30</v>
      </c>
      <c r="B22" s="233">
        <v>16000</v>
      </c>
      <c r="C22" s="244">
        <v>10808.1</v>
      </c>
      <c r="D22" s="154">
        <f t="shared" si="0"/>
        <v>67.550625</v>
      </c>
      <c r="E22" s="155">
        <f t="shared" si="1"/>
        <v>-5191.9</v>
      </c>
    </row>
    <row r="23" spans="1:5" ht="42" customHeight="1">
      <c r="A23" s="16" t="s">
        <v>201</v>
      </c>
      <c r="B23" s="233">
        <v>485700</v>
      </c>
      <c r="C23" s="244">
        <v>72995.51</v>
      </c>
      <c r="D23" s="154">
        <f t="shared" si="0"/>
        <v>15.02892938027589</v>
      </c>
      <c r="E23" s="155">
        <f t="shared" si="1"/>
        <v>-412704.49</v>
      </c>
    </row>
    <row r="24" spans="1:5" ht="19.5" customHeight="1">
      <c r="A24" s="39" t="s">
        <v>91</v>
      </c>
      <c r="B24" s="233">
        <v>36300</v>
      </c>
      <c r="C24" s="244">
        <v>36301.24</v>
      </c>
      <c r="D24" s="154">
        <f t="shared" si="0"/>
        <v>100.00341597796142</v>
      </c>
      <c r="E24" s="155">
        <f t="shared" si="1"/>
        <v>1.2399999999979627</v>
      </c>
    </row>
    <row r="25" spans="1:5" ht="15.75" customHeight="1">
      <c r="A25" s="156" t="s">
        <v>76</v>
      </c>
      <c r="B25" s="233">
        <f>SUM(B26:B27)</f>
        <v>3496800</v>
      </c>
      <c r="C25" s="233">
        <f>SUM(C26:C27)</f>
        <v>428562.22</v>
      </c>
      <c r="D25" s="154">
        <f t="shared" si="0"/>
        <v>12.255840196751315</v>
      </c>
      <c r="E25" s="155">
        <f t="shared" si="1"/>
        <v>-3068237.7800000003</v>
      </c>
    </row>
    <row r="26" spans="1:5" ht="15.75" customHeight="1">
      <c r="A26" s="16" t="s">
        <v>202</v>
      </c>
      <c r="B26" s="233">
        <v>3468800</v>
      </c>
      <c r="C26" s="233">
        <v>0</v>
      </c>
      <c r="D26" s="154">
        <f t="shared" si="0"/>
        <v>0</v>
      </c>
      <c r="E26" s="155">
        <f t="shared" si="1"/>
        <v>-3468800</v>
      </c>
    </row>
    <row r="27" spans="1:5" ht="25.5" customHeight="1">
      <c r="A27" s="16" t="s">
        <v>230</v>
      </c>
      <c r="B27" s="233">
        <v>28000</v>
      </c>
      <c r="C27" s="244">
        <v>428562.22</v>
      </c>
      <c r="D27" s="154">
        <f t="shared" si="0"/>
        <v>1530.579357142857</v>
      </c>
      <c r="E27" s="155">
        <f t="shared" si="1"/>
        <v>400562.22</v>
      </c>
    </row>
    <row r="28" spans="1:5" ht="15" customHeight="1">
      <c r="A28" s="156" t="s">
        <v>31</v>
      </c>
      <c r="B28" s="233">
        <v>0</v>
      </c>
      <c r="C28" s="233">
        <v>0</v>
      </c>
      <c r="D28" s="154" t="str">
        <f t="shared" si="0"/>
        <v>   </v>
      </c>
      <c r="E28" s="155">
        <f t="shared" si="1"/>
        <v>0</v>
      </c>
    </row>
    <row r="29" spans="1:5" ht="12.75">
      <c r="A29" s="156" t="s">
        <v>32</v>
      </c>
      <c r="B29" s="233">
        <f>B30+B31</f>
        <v>0</v>
      </c>
      <c r="C29" s="233">
        <f>C30+C31</f>
        <v>1100</v>
      </c>
      <c r="D29" s="154" t="str">
        <f t="shared" si="0"/>
        <v>   </v>
      </c>
      <c r="E29" s="155">
        <f t="shared" si="1"/>
        <v>1100</v>
      </c>
    </row>
    <row r="30" spans="1:5" ht="13.5" customHeight="1">
      <c r="A30" s="156" t="s">
        <v>46</v>
      </c>
      <c r="B30" s="233">
        <v>0</v>
      </c>
      <c r="C30" s="233">
        <v>1100</v>
      </c>
      <c r="D30" s="154" t="str">
        <f t="shared" si="0"/>
        <v>   </v>
      </c>
      <c r="E30" s="155">
        <f t="shared" si="1"/>
        <v>1100</v>
      </c>
    </row>
    <row r="31" spans="1:5" ht="15.75" customHeight="1">
      <c r="A31" s="156" t="s">
        <v>110</v>
      </c>
      <c r="B31" s="233">
        <v>0</v>
      </c>
      <c r="C31" s="234">
        <v>0</v>
      </c>
      <c r="D31" s="154" t="str">
        <f t="shared" si="0"/>
        <v>   </v>
      </c>
      <c r="E31" s="155">
        <f t="shared" si="1"/>
        <v>0</v>
      </c>
    </row>
    <row r="32" spans="1:5" ht="15" customHeight="1">
      <c r="A32" s="157" t="s">
        <v>10</v>
      </c>
      <c r="B32" s="150">
        <f>SUM(B7,B9,B11,B13,B18,B19,B24,B25,B28,B29,)</f>
        <v>22673700</v>
      </c>
      <c r="C32" s="150">
        <f>SUM(C7,C9,C11,C13,C18,C19,C24,C25,C28,C29,)</f>
        <v>12721264.090000002</v>
      </c>
      <c r="D32" s="141">
        <f t="shared" si="0"/>
        <v>56.10581462222753</v>
      </c>
      <c r="E32" s="142">
        <f t="shared" si="1"/>
        <v>-9952435.909999998</v>
      </c>
    </row>
    <row r="33" spans="1:5" ht="18" customHeight="1">
      <c r="A33" s="158" t="s">
        <v>140</v>
      </c>
      <c r="B33" s="189">
        <f>B34+B36+B37+B40+B43+B44+B45+B46+B47+B52+B41+B42</f>
        <v>62421066.14</v>
      </c>
      <c r="C33" s="189">
        <f>C34+C36+C37+C40+C43+C44+C45+C46+C47+C52+C41+C42</f>
        <v>19798701.97</v>
      </c>
      <c r="D33" s="141">
        <f t="shared" si="0"/>
        <v>31.717981114892886</v>
      </c>
      <c r="E33" s="142">
        <f t="shared" si="1"/>
        <v>-42622364.17</v>
      </c>
    </row>
    <row r="34" spans="1:5" ht="15" customHeight="1">
      <c r="A34" s="159" t="s">
        <v>34</v>
      </c>
      <c r="B34" s="160">
        <v>1845600</v>
      </c>
      <c r="C34" s="244">
        <v>1535440</v>
      </c>
      <c r="D34" s="154">
        <f t="shared" si="0"/>
        <v>83.19462505418292</v>
      </c>
      <c r="E34" s="155">
        <f t="shared" si="1"/>
        <v>-310160</v>
      </c>
    </row>
    <row r="35" spans="1:5" ht="15" customHeight="1">
      <c r="A35" s="17" t="s">
        <v>229</v>
      </c>
      <c r="B35" s="160">
        <v>0</v>
      </c>
      <c r="C35" s="244">
        <v>0</v>
      </c>
      <c r="D35" s="154" t="str">
        <f>IF(B35=0,"   ",C35/B35*100)</f>
        <v>   </v>
      </c>
      <c r="E35" s="155">
        <f>C35-B35</f>
        <v>0</v>
      </c>
    </row>
    <row r="36" spans="1:5" ht="24.75" customHeight="1">
      <c r="A36" s="156" t="s">
        <v>51</v>
      </c>
      <c r="B36" s="233">
        <v>361400</v>
      </c>
      <c r="C36" s="244">
        <v>342970</v>
      </c>
      <c r="D36" s="154">
        <f t="shared" si="0"/>
        <v>94.90038738240177</v>
      </c>
      <c r="E36" s="155">
        <f t="shared" si="1"/>
        <v>-18430</v>
      </c>
    </row>
    <row r="37" spans="1:5" ht="24.75" customHeight="1">
      <c r="A37" s="156" t="s">
        <v>148</v>
      </c>
      <c r="B37" s="233">
        <f>SUM(B38:B39)</f>
        <v>40000</v>
      </c>
      <c r="C37" s="233">
        <f>SUM(C38:C39)</f>
        <v>250</v>
      </c>
      <c r="D37" s="154">
        <f t="shared" si="0"/>
        <v>0.625</v>
      </c>
      <c r="E37" s="155">
        <f t="shared" si="1"/>
        <v>-39750</v>
      </c>
    </row>
    <row r="38" spans="1:5" ht="13.5" customHeight="1">
      <c r="A38" s="109" t="s">
        <v>163</v>
      </c>
      <c r="B38" s="233">
        <v>600</v>
      </c>
      <c r="C38" s="234">
        <v>250</v>
      </c>
      <c r="D38" s="154">
        <f>IF(B38=0,"   ",C38/B38*100)</f>
        <v>41.66666666666667</v>
      </c>
      <c r="E38" s="155">
        <f>C38-B38</f>
        <v>-350</v>
      </c>
    </row>
    <row r="39" spans="1:5" ht="24.75" customHeight="1">
      <c r="A39" s="109" t="s">
        <v>164</v>
      </c>
      <c r="B39" s="233">
        <v>39400</v>
      </c>
      <c r="C39" s="234">
        <v>0</v>
      </c>
      <c r="D39" s="154">
        <f>IF(B39=0,"   ",C39/B39*100)</f>
        <v>0</v>
      </c>
      <c r="E39" s="155">
        <f>C39-B39</f>
        <v>-39400</v>
      </c>
    </row>
    <row r="40" spans="1:5" ht="42" customHeight="1">
      <c r="A40" s="156" t="s">
        <v>123</v>
      </c>
      <c r="B40" s="233">
        <v>0</v>
      </c>
      <c r="C40" s="234">
        <v>0</v>
      </c>
      <c r="D40" s="154" t="str">
        <f t="shared" si="0"/>
        <v>   </v>
      </c>
      <c r="E40" s="155">
        <f t="shared" si="1"/>
        <v>0</v>
      </c>
    </row>
    <row r="41" spans="1:5" ht="33" customHeight="1">
      <c r="A41" s="41" t="s">
        <v>298</v>
      </c>
      <c r="B41" s="233">
        <v>1700000</v>
      </c>
      <c r="C41" s="234">
        <v>0</v>
      </c>
      <c r="D41" s="154">
        <f t="shared" si="0"/>
        <v>0</v>
      </c>
      <c r="E41" s="155">
        <f t="shared" si="1"/>
        <v>-1700000</v>
      </c>
    </row>
    <row r="42" spans="1:5" ht="33" customHeight="1">
      <c r="A42" s="41" t="s">
        <v>299</v>
      </c>
      <c r="B42" s="233">
        <v>280000</v>
      </c>
      <c r="C42" s="234">
        <v>280000</v>
      </c>
      <c r="D42" s="154">
        <f t="shared" si="0"/>
        <v>100</v>
      </c>
      <c r="E42" s="155">
        <f t="shared" si="1"/>
        <v>0</v>
      </c>
    </row>
    <row r="43" spans="1:5" ht="47.25" customHeight="1">
      <c r="A43" s="16" t="s">
        <v>219</v>
      </c>
      <c r="B43" s="245">
        <v>6213445.9</v>
      </c>
      <c r="C43" s="246">
        <v>6213445.9</v>
      </c>
      <c r="D43" s="186">
        <f>IF(B43=0,"   ",C43/B43)</f>
        <v>1</v>
      </c>
      <c r="E43" s="187">
        <f>C43-B43</f>
        <v>0</v>
      </c>
    </row>
    <row r="44" spans="1:5" ht="57" customHeight="1">
      <c r="A44" s="16" t="s">
        <v>265</v>
      </c>
      <c r="B44" s="245">
        <v>1221300</v>
      </c>
      <c r="C44" s="246">
        <v>960381.14</v>
      </c>
      <c r="D44" s="186">
        <f>IF(B44=0,"   ",C44/B44)</f>
        <v>0.7863597314337182</v>
      </c>
      <c r="E44" s="187">
        <f>C44-B44</f>
        <v>-260918.86</v>
      </c>
    </row>
    <row r="45" spans="1:5" ht="51" customHeight="1">
      <c r="A45" s="16" t="s">
        <v>240</v>
      </c>
      <c r="B45" s="235">
        <v>1612800</v>
      </c>
      <c r="C45" s="236">
        <v>1612800</v>
      </c>
      <c r="D45" s="154">
        <f t="shared" si="0"/>
        <v>100</v>
      </c>
      <c r="E45" s="155">
        <f t="shared" si="1"/>
        <v>0</v>
      </c>
    </row>
    <row r="46" spans="1:5" ht="65.25" customHeight="1">
      <c r="A46" s="194" t="s">
        <v>271</v>
      </c>
      <c r="B46" s="235">
        <v>6082988.39</v>
      </c>
      <c r="C46" s="236">
        <v>1329696.43</v>
      </c>
      <c r="D46" s="154"/>
      <c r="E46" s="155">
        <f t="shared" si="1"/>
        <v>-4753291.96</v>
      </c>
    </row>
    <row r="47" spans="1:5" ht="15" customHeight="1">
      <c r="A47" s="156" t="s">
        <v>55</v>
      </c>
      <c r="B47" s="235">
        <f>B51+B48+B49+B50</f>
        <v>42498774.7</v>
      </c>
      <c r="C47" s="235">
        <f>C51+C48+C49+C50</f>
        <v>6935779</v>
      </c>
      <c r="D47" s="154">
        <f t="shared" si="0"/>
        <v>16.319950513773282</v>
      </c>
      <c r="E47" s="155">
        <f t="shared" si="1"/>
        <v>-35562995.7</v>
      </c>
    </row>
    <row r="48" spans="1:5" ht="15" customHeight="1">
      <c r="A48" s="46" t="s">
        <v>188</v>
      </c>
      <c r="B48" s="235">
        <v>1445500</v>
      </c>
      <c r="C48" s="235">
        <v>856671</v>
      </c>
      <c r="D48" s="154">
        <f t="shared" si="0"/>
        <v>59.264683500518856</v>
      </c>
      <c r="E48" s="155">
        <f t="shared" si="1"/>
        <v>-588829</v>
      </c>
    </row>
    <row r="49" spans="1:5" ht="15" customHeight="1">
      <c r="A49" s="16" t="s">
        <v>280</v>
      </c>
      <c r="B49" s="235">
        <v>39181634.7</v>
      </c>
      <c r="C49" s="235">
        <v>5476989</v>
      </c>
      <c r="D49" s="154">
        <f>IF(B49=0,"   ",C49/B49*100)</f>
        <v>13.978459658294963</v>
      </c>
      <c r="E49" s="155">
        <f>C49-B49</f>
        <v>-33704645.7</v>
      </c>
    </row>
    <row r="50" spans="1:5" ht="15" customHeight="1">
      <c r="A50" s="46" t="s">
        <v>296</v>
      </c>
      <c r="B50" s="235">
        <v>997440</v>
      </c>
      <c r="C50" s="235">
        <v>0</v>
      </c>
      <c r="D50" s="154">
        <f>IF(B50=0,"   ",C50/B50*100)</f>
        <v>0</v>
      </c>
      <c r="E50" s="155">
        <f>C50-B50</f>
        <v>-997440</v>
      </c>
    </row>
    <row r="51" spans="1:5" ht="18" customHeight="1">
      <c r="A51" s="156" t="s">
        <v>109</v>
      </c>
      <c r="B51" s="235">
        <v>874200</v>
      </c>
      <c r="C51" s="236">
        <v>602119</v>
      </c>
      <c r="D51" s="154">
        <f t="shared" si="0"/>
        <v>68.8765728666209</v>
      </c>
      <c r="E51" s="155">
        <f t="shared" si="1"/>
        <v>-272081</v>
      </c>
    </row>
    <row r="52" spans="1:5" ht="18" customHeight="1">
      <c r="A52" s="156" t="s">
        <v>185</v>
      </c>
      <c r="B52" s="235">
        <v>564757.15</v>
      </c>
      <c r="C52" s="236">
        <v>587939.5</v>
      </c>
      <c r="D52" s="154">
        <f t="shared" si="0"/>
        <v>104.10483514905478</v>
      </c>
      <c r="E52" s="155">
        <f t="shared" si="1"/>
        <v>23182.349999999977</v>
      </c>
    </row>
    <row r="53" spans="1:5" ht="29.25" customHeight="1">
      <c r="A53" s="157" t="s">
        <v>11</v>
      </c>
      <c r="B53" s="150">
        <f>SUM(B32,B33,)</f>
        <v>85094766.14</v>
      </c>
      <c r="C53" s="150">
        <f>SUM(C32,C33,)</f>
        <v>32519966.060000002</v>
      </c>
      <c r="D53" s="141">
        <f t="shared" si="0"/>
        <v>38.21617654662492</v>
      </c>
      <c r="E53" s="142">
        <f t="shared" si="1"/>
        <v>-52574800.08</v>
      </c>
    </row>
    <row r="54" spans="1:5" ht="16.5" customHeight="1">
      <c r="A54" s="30"/>
      <c r="B54" s="160"/>
      <c r="C54" s="152"/>
      <c r="D54" s="154" t="str">
        <f t="shared" si="0"/>
        <v>   </v>
      </c>
      <c r="E54" s="155"/>
    </row>
    <row r="55" spans="1:5" ht="12.75">
      <c r="A55" s="161" t="s">
        <v>12</v>
      </c>
      <c r="B55" s="150"/>
      <c r="C55" s="162"/>
      <c r="D55" s="154" t="str">
        <f t="shared" si="0"/>
        <v>   </v>
      </c>
      <c r="E55" s="155"/>
    </row>
    <row r="56" spans="1:5" ht="18" customHeight="1">
      <c r="A56" s="156" t="s">
        <v>35</v>
      </c>
      <c r="B56" s="152">
        <f>SUM(B57,B60,B61)</f>
        <v>3298800</v>
      </c>
      <c r="C56" s="152">
        <f>SUM(C57,C60,C61)</f>
        <v>2235179.97</v>
      </c>
      <c r="D56" s="154">
        <f t="shared" si="0"/>
        <v>67.75736540560204</v>
      </c>
      <c r="E56" s="155">
        <f t="shared" si="1"/>
        <v>-1063620.0299999998</v>
      </c>
    </row>
    <row r="57" spans="1:5" ht="16.5" customHeight="1">
      <c r="A57" s="156" t="s">
        <v>36</v>
      </c>
      <c r="B57" s="152">
        <v>3226800</v>
      </c>
      <c r="C57" s="153">
        <v>2178579.97</v>
      </c>
      <c r="D57" s="154">
        <f t="shared" si="0"/>
        <v>67.5151843932069</v>
      </c>
      <c r="E57" s="155">
        <f t="shared" si="1"/>
        <v>-1048220.0299999998</v>
      </c>
    </row>
    <row r="58" spans="1:5" ht="12.75">
      <c r="A58" s="156" t="s">
        <v>121</v>
      </c>
      <c r="B58" s="152">
        <v>1562519</v>
      </c>
      <c r="C58" s="162">
        <v>1280049.31</v>
      </c>
      <c r="D58" s="154">
        <f t="shared" si="0"/>
        <v>81.92215966653846</v>
      </c>
      <c r="E58" s="155">
        <f t="shared" si="1"/>
        <v>-282469.68999999994</v>
      </c>
    </row>
    <row r="59" spans="1:5" ht="12.75">
      <c r="A59" s="85" t="s">
        <v>288</v>
      </c>
      <c r="B59" s="152">
        <v>600</v>
      </c>
      <c r="C59" s="162">
        <v>0</v>
      </c>
      <c r="D59" s="154">
        <f>IF(B59=0,"   ",C59/B59*100)</f>
        <v>0</v>
      </c>
      <c r="E59" s="155">
        <f>C59-B59</f>
        <v>-600</v>
      </c>
    </row>
    <row r="60" spans="1:5" ht="12.75">
      <c r="A60" s="156" t="s">
        <v>95</v>
      </c>
      <c r="B60" s="152">
        <v>10000</v>
      </c>
      <c r="C60" s="162">
        <v>0</v>
      </c>
      <c r="D60" s="154">
        <f t="shared" si="0"/>
        <v>0</v>
      </c>
      <c r="E60" s="155">
        <f t="shared" si="1"/>
        <v>-10000</v>
      </c>
    </row>
    <row r="61" spans="1:5" ht="12.75">
      <c r="A61" s="156" t="s">
        <v>52</v>
      </c>
      <c r="B61" s="153">
        <f>SUM(B62+B64+B65+B63)</f>
        <v>62000</v>
      </c>
      <c r="C61" s="153">
        <f>SUM(C62+C64+C65+C63)</f>
        <v>56600</v>
      </c>
      <c r="D61" s="154">
        <f t="shared" si="0"/>
        <v>91.29032258064517</v>
      </c>
      <c r="E61" s="155">
        <f t="shared" si="1"/>
        <v>-5400</v>
      </c>
    </row>
    <row r="62" spans="1:5" ht="26.25" customHeight="1">
      <c r="A62" s="105" t="s">
        <v>244</v>
      </c>
      <c r="B62" s="152">
        <v>60000</v>
      </c>
      <c r="C62" s="152">
        <v>56600</v>
      </c>
      <c r="D62" s="154">
        <f t="shared" si="0"/>
        <v>94.33333333333334</v>
      </c>
      <c r="E62" s="155">
        <f t="shared" si="1"/>
        <v>-3400</v>
      </c>
    </row>
    <row r="63" spans="1:5" ht="26.25" customHeight="1">
      <c r="A63" s="105" t="s">
        <v>243</v>
      </c>
      <c r="B63" s="152">
        <v>2000</v>
      </c>
      <c r="C63" s="152">
        <v>0</v>
      </c>
      <c r="D63" s="154">
        <f t="shared" si="0"/>
        <v>0</v>
      </c>
      <c r="E63" s="155">
        <f t="shared" si="1"/>
        <v>-2000</v>
      </c>
    </row>
    <row r="64" spans="1:5" ht="26.25" customHeight="1">
      <c r="A64" s="105" t="s">
        <v>249</v>
      </c>
      <c r="B64" s="152">
        <v>0</v>
      </c>
      <c r="C64" s="152">
        <v>0</v>
      </c>
      <c r="D64" s="154" t="str">
        <f t="shared" si="0"/>
        <v>   </v>
      </c>
      <c r="E64" s="155">
        <f t="shared" si="1"/>
        <v>0</v>
      </c>
    </row>
    <row r="65" spans="1:5" ht="12.75">
      <c r="A65" s="16" t="s">
        <v>245</v>
      </c>
      <c r="B65" s="152">
        <v>0</v>
      </c>
      <c r="C65" s="152">
        <v>0</v>
      </c>
      <c r="D65" s="154" t="str">
        <f t="shared" si="0"/>
        <v>   </v>
      </c>
      <c r="E65" s="155">
        <f t="shared" si="1"/>
        <v>0</v>
      </c>
    </row>
    <row r="66" spans="1:5" ht="21" customHeight="1">
      <c r="A66" s="156" t="s">
        <v>49</v>
      </c>
      <c r="B66" s="153">
        <f>SUM(B67)</f>
        <v>361400</v>
      </c>
      <c r="C66" s="153">
        <f>SUM(C67)</f>
        <v>306999.6</v>
      </c>
      <c r="D66" s="154">
        <f t="shared" si="0"/>
        <v>84.94731599335915</v>
      </c>
      <c r="E66" s="155">
        <f t="shared" si="1"/>
        <v>-54400.40000000002</v>
      </c>
    </row>
    <row r="67" spans="1:5" ht="17.25" customHeight="1">
      <c r="A67" s="156" t="s">
        <v>107</v>
      </c>
      <c r="B67" s="152">
        <v>361400</v>
      </c>
      <c r="C67" s="153">
        <v>306999.6</v>
      </c>
      <c r="D67" s="154">
        <f t="shared" si="0"/>
        <v>84.94731599335915</v>
      </c>
      <c r="E67" s="155">
        <f t="shared" si="1"/>
        <v>-54400.40000000002</v>
      </c>
    </row>
    <row r="68" spans="1:5" ht="15.75" customHeight="1">
      <c r="A68" s="156" t="s">
        <v>37</v>
      </c>
      <c r="B68" s="153">
        <f>SUM(B69+B72)</f>
        <v>982400</v>
      </c>
      <c r="C68" s="153">
        <f>SUM(C69+C72)</f>
        <v>616134.12</v>
      </c>
      <c r="D68" s="154">
        <f t="shared" si="0"/>
        <v>62.71723534201954</v>
      </c>
      <c r="E68" s="155">
        <f t="shared" si="1"/>
        <v>-366265.88</v>
      </c>
    </row>
    <row r="69" spans="1:5" ht="27" customHeight="1">
      <c r="A69" s="156" t="s">
        <v>86</v>
      </c>
      <c r="B69" s="152">
        <f>B70</f>
        <v>928400</v>
      </c>
      <c r="C69" s="152">
        <f>C70</f>
        <v>616134.12</v>
      </c>
      <c r="D69" s="154">
        <f t="shared" si="0"/>
        <v>66.3651572598018</v>
      </c>
      <c r="E69" s="155">
        <f t="shared" si="1"/>
        <v>-312265.88</v>
      </c>
    </row>
    <row r="70" spans="1:5" ht="16.5" customHeight="1">
      <c r="A70" s="156" t="s">
        <v>96</v>
      </c>
      <c r="B70" s="152">
        <v>928400</v>
      </c>
      <c r="C70" s="152">
        <v>616134.12</v>
      </c>
      <c r="D70" s="154">
        <f t="shared" si="0"/>
        <v>66.3651572598018</v>
      </c>
      <c r="E70" s="155">
        <f t="shared" si="1"/>
        <v>-312265.88</v>
      </c>
    </row>
    <row r="71" spans="1:5" ht="14.25" customHeight="1">
      <c r="A71" s="156" t="s">
        <v>121</v>
      </c>
      <c r="B71" s="152">
        <v>687711</v>
      </c>
      <c r="C71" s="153">
        <v>482729.19</v>
      </c>
      <c r="D71" s="154">
        <f t="shared" si="0"/>
        <v>70.19361185148995</v>
      </c>
      <c r="E71" s="155">
        <f t="shared" si="1"/>
        <v>-204981.81</v>
      </c>
    </row>
    <row r="72" spans="1:5" ht="17.25" customHeight="1">
      <c r="A72" s="156" t="s">
        <v>127</v>
      </c>
      <c r="B72" s="152">
        <v>54000</v>
      </c>
      <c r="C72" s="153">
        <v>0</v>
      </c>
      <c r="D72" s="154">
        <f t="shared" si="0"/>
        <v>0</v>
      </c>
      <c r="E72" s="155">
        <f t="shared" si="1"/>
        <v>-54000</v>
      </c>
    </row>
    <row r="73" spans="1:5" ht="18" customHeight="1">
      <c r="A73" s="156" t="s">
        <v>38</v>
      </c>
      <c r="B73" s="152">
        <f>B81+B76+B79+B92+B74</f>
        <v>5775313.82</v>
      </c>
      <c r="C73" s="152">
        <f>C81+C76+C79+C92+C74</f>
        <v>4383941.630000001</v>
      </c>
      <c r="D73" s="154">
        <f t="shared" si="0"/>
        <v>75.90828423588592</v>
      </c>
      <c r="E73" s="155">
        <f t="shared" si="1"/>
        <v>-1391372.1899999995</v>
      </c>
    </row>
    <row r="74" spans="1:5" ht="18" customHeight="1">
      <c r="A74" s="127" t="s">
        <v>241</v>
      </c>
      <c r="B74" s="25">
        <f>SUM(B75)</f>
        <v>271300</v>
      </c>
      <c r="C74" s="25">
        <f>SUM(C75)</f>
        <v>96925.48</v>
      </c>
      <c r="D74" s="154">
        <f t="shared" si="0"/>
        <v>35.72631035753778</v>
      </c>
      <c r="E74" s="155">
        <f t="shared" si="1"/>
        <v>-174374.52000000002</v>
      </c>
    </row>
    <row r="75" spans="1:5" ht="18" customHeight="1">
      <c r="A75" s="127" t="s">
        <v>242</v>
      </c>
      <c r="B75" s="152">
        <v>271300</v>
      </c>
      <c r="C75" s="152">
        <v>96925.48</v>
      </c>
      <c r="D75" s="154">
        <f t="shared" si="0"/>
        <v>35.72631035753778</v>
      </c>
      <c r="E75" s="155">
        <f t="shared" si="1"/>
        <v>-174374.52000000002</v>
      </c>
    </row>
    <row r="76" spans="1:5" ht="18" customHeight="1">
      <c r="A76" s="75" t="s">
        <v>165</v>
      </c>
      <c r="B76" s="25">
        <f>SUM(B78,B77)</f>
        <v>99400</v>
      </c>
      <c r="C76" s="25">
        <f>SUM(C78,C77)</f>
        <v>0</v>
      </c>
      <c r="D76" s="154">
        <f>IF(B76=0,"   ",C76/B76*100)</f>
        <v>0</v>
      </c>
      <c r="E76" s="155">
        <f>C76-B76</f>
        <v>-99400</v>
      </c>
    </row>
    <row r="77" spans="1:5" ht="18" customHeight="1">
      <c r="A77" s="75" t="s">
        <v>169</v>
      </c>
      <c r="B77" s="25">
        <v>60000</v>
      </c>
      <c r="C77" s="25">
        <v>0</v>
      </c>
      <c r="D77" s="154">
        <f>IF(B77=0,"   ",C77/B77*100)</f>
        <v>0</v>
      </c>
      <c r="E77" s="155">
        <f>C77-B77</f>
        <v>-60000</v>
      </c>
    </row>
    <row r="78" spans="1:5" ht="18" customHeight="1">
      <c r="A78" s="75" t="s">
        <v>166</v>
      </c>
      <c r="B78" s="25">
        <v>39400</v>
      </c>
      <c r="C78" s="152">
        <v>0</v>
      </c>
      <c r="D78" s="154">
        <f>IF(B78=0,"   ",C78/B78*100)</f>
        <v>0</v>
      </c>
      <c r="E78" s="155">
        <f>C78-B78</f>
        <v>-39400</v>
      </c>
    </row>
    <row r="79" spans="1:5" ht="18" customHeight="1">
      <c r="A79" s="75" t="s">
        <v>231</v>
      </c>
      <c r="B79" s="25">
        <f>SUM(B80)</f>
        <v>0</v>
      </c>
      <c r="C79" s="25">
        <f>SUM(C80)</f>
        <v>0</v>
      </c>
      <c r="D79" s="154" t="str">
        <f>IF(B79=0,"   ",C79/B79*100)</f>
        <v>   </v>
      </c>
      <c r="E79" s="155">
        <f>C79-B79</f>
        <v>0</v>
      </c>
    </row>
    <row r="80" spans="1:5" ht="18" customHeight="1">
      <c r="A80" s="75" t="s">
        <v>232</v>
      </c>
      <c r="B80" s="25">
        <v>0</v>
      </c>
      <c r="C80" s="152">
        <v>0</v>
      </c>
      <c r="D80" s="154" t="str">
        <f>IF(B80=0,"   ",C80/B80*100)</f>
        <v>   </v>
      </c>
      <c r="E80" s="155">
        <f>C80-B80</f>
        <v>0</v>
      </c>
    </row>
    <row r="81" spans="1:5" ht="18.75" customHeight="1">
      <c r="A81" s="164" t="s">
        <v>131</v>
      </c>
      <c r="B81" s="152">
        <f>SUM(B82:B91)</f>
        <v>5304613.82</v>
      </c>
      <c r="C81" s="152">
        <f>SUM(C82:C91)</f>
        <v>4192016.1500000004</v>
      </c>
      <c r="D81" s="154">
        <f t="shared" si="0"/>
        <v>79.0258498025781</v>
      </c>
      <c r="E81" s="155">
        <f t="shared" si="1"/>
        <v>-1112597.67</v>
      </c>
    </row>
    <row r="82" spans="1:5" ht="30" customHeight="1">
      <c r="A82" s="75" t="s">
        <v>149</v>
      </c>
      <c r="B82" s="152">
        <v>300000</v>
      </c>
      <c r="C82" s="152">
        <v>131401</v>
      </c>
      <c r="D82" s="154">
        <f t="shared" si="0"/>
        <v>43.800333333333334</v>
      </c>
      <c r="E82" s="155">
        <f t="shared" si="1"/>
        <v>-168599</v>
      </c>
    </row>
    <row r="83" spans="1:5" ht="28.5" customHeight="1">
      <c r="A83" s="71" t="s">
        <v>257</v>
      </c>
      <c r="B83" s="152">
        <v>0</v>
      </c>
      <c r="C83" s="152">
        <v>0</v>
      </c>
      <c r="D83" s="154" t="str">
        <f t="shared" si="0"/>
        <v>   </v>
      </c>
      <c r="E83" s="155">
        <f t="shared" si="1"/>
        <v>0</v>
      </c>
    </row>
    <row r="84" spans="1:5" ht="27" customHeight="1">
      <c r="A84" s="71" t="s">
        <v>258</v>
      </c>
      <c r="B84" s="152">
        <v>848513.82</v>
      </c>
      <c r="C84" s="152">
        <v>620050</v>
      </c>
      <c r="D84" s="154">
        <f t="shared" si="0"/>
        <v>73.0748262886278</v>
      </c>
      <c r="E84" s="155">
        <f t="shared" si="1"/>
        <v>-228463.81999999995</v>
      </c>
    </row>
    <row r="85" spans="1:5" ht="30" customHeight="1">
      <c r="A85" s="71" t="s">
        <v>259</v>
      </c>
      <c r="B85" s="152">
        <v>1221300</v>
      </c>
      <c r="C85" s="152">
        <v>960381.14</v>
      </c>
      <c r="D85" s="154">
        <f t="shared" si="0"/>
        <v>78.63597314337181</v>
      </c>
      <c r="E85" s="155">
        <f t="shared" si="1"/>
        <v>-260918.86</v>
      </c>
    </row>
    <row r="86" spans="1:5" ht="35.25" customHeight="1">
      <c r="A86" s="71" t="s">
        <v>260</v>
      </c>
      <c r="B86" s="152">
        <v>135700</v>
      </c>
      <c r="C86" s="152">
        <v>113463.01</v>
      </c>
      <c r="D86" s="154">
        <f t="shared" si="0"/>
        <v>83.6131245394252</v>
      </c>
      <c r="E86" s="155">
        <f t="shared" si="1"/>
        <v>-22236.990000000005</v>
      </c>
    </row>
    <row r="87" spans="1:5" ht="35.25" customHeight="1">
      <c r="A87" s="71" t="s">
        <v>261</v>
      </c>
      <c r="B87" s="152">
        <v>874200</v>
      </c>
      <c r="C87" s="152">
        <v>602119</v>
      </c>
      <c r="D87" s="154">
        <f t="shared" si="0"/>
        <v>68.8765728666209</v>
      </c>
      <c r="E87" s="155">
        <f t="shared" si="1"/>
        <v>-272081</v>
      </c>
    </row>
    <row r="88" spans="1:5" ht="30" customHeight="1">
      <c r="A88" s="71" t="s">
        <v>262</v>
      </c>
      <c r="B88" s="152">
        <v>97200</v>
      </c>
      <c r="C88" s="152">
        <v>66902</v>
      </c>
      <c r="D88" s="154">
        <f t="shared" si="0"/>
        <v>68.82921810699588</v>
      </c>
      <c r="E88" s="155">
        <f t="shared" si="1"/>
        <v>-30298</v>
      </c>
    </row>
    <row r="89" spans="1:5" ht="30" customHeight="1">
      <c r="A89" s="75" t="s">
        <v>268</v>
      </c>
      <c r="B89" s="152">
        <v>130000</v>
      </c>
      <c r="C89" s="152">
        <v>0</v>
      </c>
      <c r="D89" s="154">
        <f t="shared" si="0"/>
        <v>0</v>
      </c>
      <c r="E89" s="155">
        <f t="shared" si="1"/>
        <v>-130000</v>
      </c>
    </row>
    <row r="90" spans="1:5" ht="25.5" customHeight="1">
      <c r="A90" s="163" t="s">
        <v>141</v>
      </c>
      <c r="B90" s="84">
        <v>1612800</v>
      </c>
      <c r="C90" s="152">
        <v>1612800</v>
      </c>
      <c r="D90" s="154">
        <f t="shared" si="0"/>
        <v>100</v>
      </c>
      <c r="E90" s="155">
        <f t="shared" si="1"/>
        <v>0</v>
      </c>
    </row>
    <row r="91" spans="1:5" ht="32.25" customHeight="1">
      <c r="A91" s="105" t="s">
        <v>246</v>
      </c>
      <c r="B91" s="152">
        <v>84900</v>
      </c>
      <c r="C91" s="152">
        <v>84900</v>
      </c>
      <c r="D91" s="154">
        <f t="shared" si="0"/>
        <v>100</v>
      </c>
      <c r="E91" s="155">
        <f t="shared" si="1"/>
        <v>0</v>
      </c>
    </row>
    <row r="92" spans="1:5" ht="13.5">
      <c r="A92" s="96" t="s">
        <v>177</v>
      </c>
      <c r="B92" s="188">
        <f>B93</f>
        <v>100000</v>
      </c>
      <c r="C92" s="188">
        <f>C93</f>
        <v>95000</v>
      </c>
      <c r="D92" s="186">
        <f>IF(B92=0,"   ",C92/B92)</f>
        <v>0.95</v>
      </c>
      <c r="E92" s="187">
        <f>C92-B92</f>
        <v>-5000</v>
      </c>
    </row>
    <row r="93" spans="1:5" ht="26.25">
      <c r="A93" s="105" t="s">
        <v>155</v>
      </c>
      <c r="B93" s="188">
        <v>100000</v>
      </c>
      <c r="C93" s="188">
        <v>95000</v>
      </c>
      <c r="D93" s="186">
        <f>IF(B93=0,"   ",C93/B93)</f>
        <v>0.95</v>
      </c>
      <c r="E93" s="187">
        <f>C93-B93</f>
        <v>-5000</v>
      </c>
    </row>
    <row r="94" spans="1:5" ht="26.25">
      <c r="A94" s="75" t="s">
        <v>178</v>
      </c>
      <c r="B94" s="188">
        <v>0</v>
      </c>
      <c r="C94" s="188">
        <v>0</v>
      </c>
      <c r="D94" s="186" t="str">
        <f>IF(B94=0,"   ",C94/B94)</f>
        <v>   </v>
      </c>
      <c r="E94" s="187">
        <f>C94-B94</f>
        <v>0</v>
      </c>
    </row>
    <row r="95" spans="1:5" ht="18" customHeight="1">
      <c r="A95" s="156" t="s">
        <v>13</v>
      </c>
      <c r="B95" s="152">
        <f>SUM(B96,B99,B108)</f>
        <v>61496130.09</v>
      </c>
      <c r="C95" s="152">
        <f>SUM(C96,C99,C108)</f>
        <v>19842403.57</v>
      </c>
      <c r="D95" s="154">
        <f t="shared" si="0"/>
        <v>32.26610120175125</v>
      </c>
      <c r="E95" s="155">
        <f t="shared" si="1"/>
        <v>-41653726.52</v>
      </c>
    </row>
    <row r="96" spans="1:5" ht="18.75" customHeight="1">
      <c r="A96" s="86" t="s">
        <v>14</v>
      </c>
      <c r="B96" s="87">
        <f>SUM(B97:B98)</f>
        <v>412790.5</v>
      </c>
      <c r="C96" s="87">
        <f>SUM(C97:C98)</f>
        <v>124620.88</v>
      </c>
      <c r="D96" s="154">
        <f t="shared" si="0"/>
        <v>30.18986144303224</v>
      </c>
      <c r="E96" s="155">
        <f t="shared" si="1"/>
        <v>-288169.62</v>
      </c>
    </row>
    <row r="97" spans="1:5" ht="12.75">
      <c r="A97" s="156" t="s">
        <v>101</v>
      </c>
      <c r="B97" s="152">
        <v>300000</v>
      </c>
      <c r="C97" s="153">
        <v>81830.38</v>
      </c>
      <c r="D97" s="154">
        <f t="shared" si="0"/>
        <v>27.276793333333334</v>
      </c>
      <c r="E97" s="155">
        <f t="shared" si="1"/>
        <v>-218169.62</v>
      </c>
    </row>
    <row r="98" spans="1:5" ht="12.75">
      <c r="A98" s="156" t="s">
        <v>183</v>
      </c>
      <c r="B98" s="152">
        <v>112790.5</v>
      </c>
      <c r="C98" s="153">
        <v>42790.5</v>
      </c>
      <c r="D98" s="154">
        <f t="shared" si="0"/>
        <v>37.93803556150562</v>
      </c>
      <c r="E98" s="155">
        <f t="shared" si="1"/>
        <v>-70000</v>
      </c>
    </row>
    <row r="99" spans="1:5" ht="18" customHeight="1">
      <c r="A99" s="86" t="s">
        <v>64</v>
      </c>
      <c r="B99" s="87">
        <f>SUM(B100:B102,B106,B107)</f>
        <v>1587840</v>
      </c>
      <c r="C99" s="87">
        <f>SUM(C100:C102,C106,C107)</f>
        <v>400647.95</v>
      </c>
      <c r="D99" s="154">
        <f t="shared" si="0"/>
        <v>25.232262066706973</v>
      </c>
      <c r="E99" s="155">
        <f t="shared" si="1"/>
        <v>-1187192.05</v>
      </c>
    </row>
    <row r="100" spans="1:5" ht="12.75">
      <c r="A100" s="156" t="s">
        <v>142</v>
      </c>
      <c r="B100" s="152">
        <v>100000</v>
      </c>
      <c r="C100" s="152">
        <v>9247.95</v>
      </c>
      <c r="D100" s="154">
        <f t="shared" si="0"/>
        <v>9.247950000000001</v>
      </c>
      <c r="E100" s="155">
        <f t="shared" si="1"/>
        <v>-90752.05</v>
      </c>
    </row>
    <row r="101" spans="1:5" ht="12.75">
      <c r="A101" s="16" t="s">
        <v>158</v>
      </c>
      <c r="B101" s="152">
        <v>190400</v>
      </c>
      <c r="C101" s="152">
        <v>190400</v>
      </c>
      <c r="D101" s="154">
        <f t="shared" si="0"/>
        <v>100</v>
      </c>
      <c r="E101" s="155">
        <f t="shared" si="1"/>
        <v>0</v>
      </c>
    </row>
    <row r="102" spans="1:5" ht="26.25">
      <c r="A102" s="105" t="s">
        <v>206</v>
      </c>
      <c r="B102" s="199">
        <f>SUM(B103:B105)</f>
        <v>0</v>
      </c>
      <c r="C102" s="199">
        <f>SUM(C103:C105)</f>
        <v>0</v>
      </c>
      <c r="D102" s="154" t="str">
        <f>IF(B102=0,"   ",C102/B102*100)</f>
        <v>   </v>
      </c>
      <c r="E102" s="155">
        <f>C102-B102</f>
        <v>0</v>
      </c>
    </row>
    <row r="103" spans="1:5" ht="26.25">
      <c r="A103" s="105" t="s">
        <v>187</v>
      </c>
      <c r="B103" s="152">
        <v>0</v>
      </c>
      <c r="C103" s="152">
        <v>0</v>
      </c>
      <c r="D103" s="154" t="str">
        <f>IF(B103=0,"   ",C103/B103*100)</f>
        <v>   </v>
      </c>
      <c r="E103" s="155">
        <f>C103-B103</f>
        <v>0</v>
      </c>
    </row>
    <row r="104" spans="1:5" ht="26.25">
      <c r="A104" s="105" t="s">
        <v>200</v>
      </c>
      <c r="B104" s="152">
        <v>0</v>
      </c>
      <c r="C104" s="152">
        <v>0</v>
      </c>
      <c r="D104" s="154" t="str">
        <f t="shared" si="0"/>
        <v>   </v>
      </c>
      <c r="E104" s="155">
        <f t="shared" si="1"/>
        <v>0</v>
      </c>
    </row>
    <row r="105" spans="1:5" ht="26.25">
      <c r="A105" s="105" t="s">
        <v>212</v>
      </c>
      <c r="B105" s="152">
        <v>0</v>
      </c>
      <c r="C105" s="152">
        <v>0</v>
      </c>
      <c r="D105" s="154" t="str">
        <f t="shared" si="0"/>
        <v>   </v>
      </c>
      <c r="E105" s="155">
        <f t="shared" si="1"/>
        <v>0</v>
      </c>
    </row>
    <row r="106" spans="1:5" ht="12.75">
      <c r="A106" s="16" t="s">
        <v>301</v>
      </c>
      <c r="B106" s="152">
        <v>997440</v>
      </c>
      <c r="C106" s="152">
        <v>0</v>
      </c>
      <c r="D106" s="154">
        <f t="shared" si="0"/>
        <v>0</v>
      </c>
      <c r="E106" s="155">
        <f t="shared" si="1"/>
        <v>-997440</v>
      </c>
    </row>
    <row r="107" spans="1:5" ht="12.75">
      <c r="A107" s="156" t="s">
        <v>135</v>
      </c>
      <c r="B107" s="152">
        <v>300000</v>
      </c>
      <c r="C107" s="152">
        <v>201000</v>
      </c>
      <c r="D107" s="154">
        <f t="shared" si="0"/>
        <v>67</v>
      </c>
      <c r="E107" s="155">
        <f t="shared" si="1"/>
        <v>-99000</v>
      </c>
    </row>
    <row r="108" spans="1:5" ht="16.5" customHeight="1">
      <c r="A108" s="86" t="s">
        <v>63</v>
      </c>
      <c r="B108" s="87">
        <f>B109+B111+B112+B113+B114+B116+B120+B124+B125+B110+B115</f>
        <v>59495499.59</v>
      </c>
      <c r="C108" s="87">
        <f>C109+C111+C112+C113+C114+C116+C120+C124+C125+C110+C115</f>
        <v>19317134.74</v>
      </c>
      <c r="D108" s="154">
        <f t="shared" si="0"/>
        <v>32.46822847630448</v>
      </c>
      <c r="E108" s="155">
        <f t="shared" si="1"/>
        <v>-40178364.85000001</v>
      </c>
    </row>
    <row r="109" spans="1:5" ht="12.75">
      <c r="A109" s="156" t="s">
        <v>65</v>
      </c>
      <c r="B109" s="152">
        <v>4090000</v>
      </c>
      <c r="C109" s="153">
        <v>3253312.39</v>
      </c>
      <c r="D109" s="154">
        <f t="shared" si="0"/>
        <v>79.54309022004891</v>
      </c>
      <c r="E109" s="155">
        <f t="shared" si="1"/>
        <v>-836687.6099999999</v>
      </c>
    </row>
    <row r="110" spans="1:5" ht="26.25">
      <c r="A110" s="16" t="s">
        <v>218</v>
      </c>
      <c r="B110" s="152">
        <v>6000</v>
      </c>
      <c r="C110" s="153">
        <v>0</v>
      </c>
      <c r="D110" s="154">
        <f t="shared" si="0"/>
        <v>0</v>
      </c>
      <c r="E110" s="155">
        <f t="shared" si="1"/>
        <v>-6000</v>
      </c>
    </row>
    <row r="111" spans="1:5" ht="12.75">
      <c r="A111" s="156" t="s">
        <v>66</v>
      </c>
      <c r="B111" s="152">
        <v>263000</v>
      </c>
      <c r="C111" s="153">
        <v>247900</v>
      </c>
      <c r="D111" s="154">
        <f aca="true" t="shared" si="2" ref="D111:D144">IF(B111=0,"   ",C111/B111*100)</f>
        <v>94.25855513307985</v>
      </c>
      <c r="E111" s="155">
        <f t="shared" si="1"/>
        <v>-15100</v>
      </c>
    </row>
    <row r="112" spans="1:5" ht="12.75">
      <c r="A112" s="156" t="s">
        <v>67</v>
      </c>
      <c r="B112" s="152">
        <v>100000</v>
      </c>
      <c r="C112" s="153">
        <v>29028</v>
      </c>
      <c r="D112" s="154">
        <f t="shared" si="2"/>
        <v>29.028</v>
      </c>
      <c r="E112" s="155">
        <f t="shared" si="1"/>
        <v>-70972</v>
      </c>
    </row>
    <row r="113" spans="1:5" ht="12.75">
      <c r="A113" s="156" t="s">
        <v>68</v>
      </c>
      <c r="B113" s="152">
        <v>1520921.11</v>
      </c>
      <c r="C113" s="153">
        <v>1457483.67</v>
      </c>
      <c r="D113" s="154">
        <f t="shared" si="2"/>
        <v>95.82901180193362</v>
      </c>
      <c r="E113" s="155">
        <f t="shared" si="1"/>
        <v>-63437.44000000018</v>
      </c>
    </row>
    <row r="114" spans="1:5" ht="33" customHeight="1">
      <c r="A114" s="105" t="s">
        <v>302</v>
      </c>
      <c r="B114" s="152">
        <v>1700000</v>
      </c>
      <c r="C114" s="153">
        <v>0</v>
      </c>
      <c r="D114" s="154">
        <f t="shared" si="2"/>
        <v>0</v>
      </c>
      <c r="E114" s="155">
        <f t="shared" si="1"/>
        <v>-1700000</v>
      </c>
    </row>
    <row r="115" spans="1:5" ht="18" customHeight="1">
      <c r="A115" s="105" t="s">
        <v>303</v>
      </c>
      <c r="B115" s="152">
        <v>280000</v>
      </c>
      <c r="C115" s="153">
        <v>0</v>
      </c>
      <c r="D115" s="154">
        <f t="shared" si="2"/>
        <v>0</v>
      </c>
      <c r="E115" s="155">
        <f t="shared" si="1"/>
        <v>-280000</v>
      </c>
    </row>
    <row r="116" spans="1:5" ht="18" customHeight="1">
      <c r="A116" s="163" t="s">
        <v>182</v>
      </c>
      <c r="B116" s="188">
        <f>B117+B119+B118</f>
        <v>6213445.9</v>
      </c>
      <c r="C116" s="188">
        <f>C117+C119+C118</f>
        <v>6182372.8</v>
      </c>
      <c r="D116" s="186">
        <f aca="true" t="shared" si="3" ref="D116:D128">IF(B116=0,"   ",C116/B116)</f>
        <v>0.9949990551941555</v>
      </c>
      <c r="E116" s="187">
        <f aca="true" t="shared" si="4" ref="E116:E128">C116-B116</f>
        <v>-31073.10000000056</v>
      </c>
    </row>
    <row r="117" spans="1:5" ht="13.5">
      <c r="A117" s="163" t="s">
        <v>180</v>
      </c>
      <c r="B117" s="188">
        <v>6151311.44</v>
      </c>
      <c r="C117" s="188">
        <v>6120549.05</v>
      </c>
      <c r="D117" s="186">
        <f t="shared" si="3"/>
        <v>0.9949990517794364</v>
      </c>
      <c r="E117" s="187">
        <f t="shared" si="4"/>
        <v>-30762.390000000596</v>
      </c>
    </row>
    <row r="118" spans="1:5" ht="13.5">
      <c r="A118" s="163" t="s">
        <v>181</v>
      </c>
      <c r="B118" s="188">
        <v>43494.12</v>
      </c>
      <c r="C118" s="188">
        <v>43276.62</v>
      </c>
      <c r="D118" s="186">
        <f t="shared" si="3"/>
        <v>0.9949993240465608</v>
      </c>
      <c r="E118" s="187">
        <f t="shared" si="4"/>
        <v>-217.5</v>
      </c>
    </row>
    <row r="119" spans="1:5" ht="13.5">
      <c r="A119" s="105" t="s">
        <v>192</v>
      </c>
      <c r="B119" s="188">
        <v>18640.34</v>
      </c>
      <c r="C119" s="188">
        <v>18547.13</v>
      </c>
      <c r="D119" s="186">
        <f t="shared" si="3"/>
        <v>0.994999554729152</v>
      </c>
      <c r="E119" s="187">
        <f t="shared" si="4"/>
        <v>-93.20999999999913</v>
      </c>
    </row>
    <row r="120" spans="1:5" ht="26.25">
      <c r="A120" s="105" t="s">
        <v>206</v>
      </c>
      <c r="B120" s="188">
        <f>SUM(B121:B123)</f>
        <v>2032451.14</v>
      </c>
      <c r="C120" s="188">
        <f>SUM(C121:C123)</f>
        <v>1427785.02</v>
      </c>
      <c r="D120" s="154">
        <f>IF(B120=0,"   ",C120/B120*100)</f>
        <v>70.2494142122403</v>
      </c>
      <c r="E120" s="155">
        <f t="shared" si="4"/>
        <v>-604666.1199999999</v>
      </c>
    </row>
    <row r="121" spans="1:5" ht="26.25">
      <c r="A121" s="105" t="s">
        <v>187</v>
      </c>
      <c r="B121" s="188">
        <v>1445452.34</v>
      </c>
      <c r="C121" s="188">
        <v>856671</v>
      </c>
      <c r="D121" s="154">
        <f>IF(B121=0,"   ",C121/B121*100)</f>
        <v>59.266637598026925</v>
      </c>
      <c r="E121" s="155">
        <f t="shared" si="4"/>
        <v>-588781.3400000001</v>
      </c>
    </row>
    <row r="122" spans="1:5" ht="26.25">
      <c r="A122" s="105" t="s">
        <v>200</v>
      </c>
      <c r="B122" s="188">
        <v>440249.1</v>
      </c>
      <c r="C122" s="188">
        <v>428335.5</v>
      </c>
      <c r="D122" s="154">
        <f>IF(B122=0,"   ",C122/B122*100)</f>
        <v>97.29389566043406</v>
      </c>
      <c r="E122" s="155">
        <f t="shared" si="4"/>
        <v>-11913.599999999977</v>
      </c>
    </row>
    <row r="123" spans="1:5" ht="26.25">
      <c r="A123" s="105" t="s">
        <v>212</v>
      </c>
      <c r="B123" s="188">
        <v>146749.7</v>
      </c>
      <c r="C123" s="188">
        <v>142778.52</v>
      </c>
      <c r="D123" s="154">
        <f>IF(B123=0,"   ",C123/B123*100)</f>
        <v>97.29390928908201</v>
      </c>
      <c r="E123" s="155">
        <f t="shared" si="4"/>
        <v>-3971.180000000022</v>
      </c>
    </row>
    <row r="124" spans="1:5" ht="13.5">
      <c r="A124" s="105" t="s">
        <v>250</v>
      </c>
      <c r="B124" s="188">
        <v>1600000</v>
      </c>
      <c r="C124" s="188">
        <v>841200</v>
      </c>
      <c r="D124" s="186">
        <f t="shared" si="3"/>
        <v>0.52575</v>
      </c>
      <c r="E124" s="187">
        <f t="shared" si="4"/>
        <v>-758800</v>
      </c>
    </row>
    <row r="125" spans="1:5" ht="17.25" customHeight="1">
      <c r="A125" s="105" t="s">
        <v>289</v>
      </c>
      <c r="B125" s="188">
        <f>SUM(B126:B128)</f>
        <v>41689681.440000005</v>
      </c>
      <c r="C125" s="188">
        <f>SUM(C126:C128)</f>
        <v>5878052.86</v>
      </c>
      <c r="D125" s="154">
        <f>IF(B125=0,"   ",C125/B125*100)</f>
        <v>14.099538919383981</v>
      </c>
      <c r="E125" s="155">
        <f>C125-B125</f>
        <v>-35811628.580000006</v>
      </c>
    </row>
    <row r="126" spans="1:5" ht="24" customHeight="1">
      <c r="A126" s="105" t="s">
        <v>273</v>
      </c>
      <c r="B126" s="153">
        <v>39181634.7</v>
      </c>
      <c r="C126" s="188">
        <v>5476989</v>
      </c>
      <c r="D126" s="154">
        <f>IF(B126=0,"   ",C126/B126*100)</f>
        <v>13.978459658294963</v>
      </c>
      <c r="E126" s="155">
        <f>C126-B126</f>
        <v>-33704645.7</v>
      </c>
    </row>
    <row r="127" spans="1:5" ht="24" customHeight="1">
      <c r="A127" s="105" t="s">
        <v>290</v>
      </c>
      <c r="B127" s="153">
        <v>2090039.29</v>
      </c>
      <c r="C127" s="188">
        <v>334219.88</v>
      </c>
      <c r="D127" s="154">
        <f>IF(B127=0,"   ",C127/B127*100)</f>
        <v>15.991081201157705</v>
      </c>
      <c r="E127" s="155">
        <f>C127-B127</f>
        <v>-1755819.4100000001</v>
      </c>
    </row>
    <row r="128" spans="1:5" ht="29.25" customHeight="1">
      <c r="A128" s="105" t="s">
        <v>291</v>
      </c>
      <c r="B128" s="153">
        <v>418007.45</v>
      </c>
      <c r="C128" s="188">
        <v>66843.98</v>
      </c>
      <c r="D128" s="186">
        <f t="shared" si="3"/>
        <v>0.15991097766319715</v>
      </c>
      <c r="E128" s="187">
        <f t="shared" si="4"/>
        <v>-351163.47000000003</v>
      </c>
    </row>
    <row r="129" spans="1:5" ht="15" customHeight="1">
      <c r="A129" s="165" t="s">
        <v>17</v>
      </c>
      <c r="B129" s="166">
        <v>0</v>
      </c>
      <c r="C129" s="166">
        <v>0</v>
      </c>
      <c r="D129" s="167" t="str">
        <f t="shared" si="2"/>
        <v>   </v>
      </c>
      <c r="E129" s="168">
        <f t="shared" si="1"/>
        <v>0</v>
      </c>
    </row>
    <row r="130" spans="1:5" ht="18.75" customHeight="1">
      <c r="A130" s="169" t="s">
        <v>41</v>
      </c>
      <c r="B130" s="170">
        <f>B131</f>
        <v>13527476.78</v>
      </c>
      <c r="C130" s="170">
        <f>C131</f>
        <v>3551937.9299999997</v>
      </c>
      <c r="D130" s="167">
        <f t="shared" si="2"/>
        <v>26.257209587315216</v>
      </c>
      <c r="E130" s="168">
        <f t="shared" si="1"/>
        <v>-9975538.85</v>
      </c>
    </row>
    <row r="131" spans="1:5" ht="15.75" customHeight="1">
      <c r="A131" s="169" t="s">
        <v>42</v>
      </c>
      <c r="B131" s="87">
        <f>B132+B133+B134+B136+B135</f>
        <v>13527476.78</v>
      </c>
      <c r="C131" s="87">
        <f>C132+C133+C134+C136+C135</f>
        <v>3551937.9299999997</v>
      </c>
      <c r="D131" s="167">
        <f t="shared" si="2"/>
        <v>26.257209587315216</v>
      </c>
      <c r="E131" s="168">
        <f t="shared" si="1"/>
        <v>-9975538.85</v>
      </c>
    </row>
    <row r="132" spans="1:5" ht="19.5" customHeight="1">
      <c r="A132" s="169" t="s">
        <v>143</v>
      </c>
      <c r="B132" s="166">
        <v>3916900</v>
      </c>
      <c r="C132" s="171">
        <v>641134.06</v>
      </c>
      <c r="D132" s="167">
        <f t="shared" si="2"/>
        <v>16.368405116290948</v>
      </c>
      <c r="E132" s="168">
        <f t="shared" si="1"/>
        <v>-3275765.94</v>
      </c>
    </row>
    <row r="133" spans="1:5" ht="16.5" customHeight="1">
      <c r="A133" s="16" t="s">
        <v>193</v>
      </c>
      <c r="B133" s="166">
        <v>1238800</v>
      </c>
      <c r="C133" s="171">
        <v>0</v>
      </c>
      <c r="D133" s="167">
        <f t="shared" si="2"/>
        <v>0</v>
      </c>
      <c r="E133" s="168">
        <f t="shared" si="1"/>
        <v>-1238800</v>
      </c>
    </row>
    <row r="134" spans="1:5" ht="18" customHeight="1">
      <c r="A134" s="169" t="s">
        <v>144</v>
      </c>
      <c r="B134" s="166">
        <v>1349988.39</v>
      </c>
      <c r="C134" s="171">
        <v>781807.44</v>
      </c>
      <c r="D134" s="167">
        <f t="shared" si="2"/>
        <v>57.91216026680052</v>
      </c>
      <c r="E134" s="168">
        <f t="shared" si="1"/>
        <v>-568180.95</v>
      </c>
    </row>
    <row r="135" spans="1:5" ht="18" customHeight="1">
      <c r="A135" s="16" t="s">
        <v>294</v>
      </c>
      <c r="B135" s="166">
        <v>938800</v>
      </c>
      <c r="C135" s="171">
        <v>799300</v>
      </c>
      <c r="D135" s="167">
        <f t="shared" si="2"/>
        <v>85.14060502769493</v>
      </c>
      <c r="E135" s="168">
        <f t="shared" si="1"/>
        <v>-139500</v>
      </c>
    </row>
    <row r="136" spans="1:5" ht="18" customHeight="1">
      <c r="A136" s="16" t="s">
        <v>267</v>
      </c>
      <c r="B136" s="166">
        <f>SUM(B137:B139)</f>
        <v>6082988.39</v>
      </c>
      <c r="C136" s="166">
        <f>SUM(C137:C139)</f>
        <v>1329696.43</v>
      </c>
      <c r="D136" s="167">
        <f t="shared" si="2"/>
        <v>21.85926299293825</v>
      </c>
      <c r="E136" s="168">
        <f t="shared" si="1"/>
        <v>-4753291.96</v>
      </c>
    </row>
    <row r="137" spans="1:5" ht="18" customHeight="1">
      <c r="A137" s="163" t="s">
        <v>180</v>
      </c>
      <c r="B137" s="166">
        <v>4340232.21</v>
      </c>
      <c r="C137" s="171">
        <v>948742.77</v>
      </c>
      <c r="D137" s="167">
        <f>IF(B137=0,"   ",C137/B137*100)</f>
        <v>21.859262917179265</v>
      </c>
      <c r="E137" s="168">
        <f>C137-B137</f>
        <v>-3391489.44</v>
      </c>
    </row>
    <row r="138" spans="1:5" ht="18" customHeight="1">
      <c r="A138" s="163" t="s">
        <v>181</v>
      </c>
      <c r="B138" s="166">
        <v>1659767.79</v>
      </c>
      <c r="C138" s="171">
        <v>362813.01</v>
      </c>
      <c r="D138" s="167">
        <f>IF(B138=0,"   ",C138/B138*100)</f>
        <v>21.859263216573204</v>
      </c>
      <c r="E138" s="168">
        <f>C138-B138</f>
        <v>-1296954.78</v>
      </c>
    </row>
    <row r="139" spans="1:5" ht="18" customHeight="1">
      <c r="A139" s="105" t="s">
        <v>192</v>
      </c>
      <c r="B139" s="166">
        <v>82988.39</v>
      </c>
      <c r="C139" s="171">
        <v>18140.65</v>
      </c>
      <c r="D139" s="167">
        <f t="shared" si="2"/>
        <v>21.85926248237856</v>
      </c>
      <c r="E139" s="168">
        <f t="shared" si="1"/>
        <v>-64847.74</v>
      </c>
    </row>
    <row r="140" spans="1:5" ht="12.75">
      <c r="A140" s="169" t="s">
        <v>124</v>
      </c>
      <c r="B140" s="166">
        <f>SUM(B141,)</f>
        <v>105000</v>
      </c>
      <c r="C140" s="166">
        <f>SUM(C141,)</f>
        <v>35580</v>
      </c>
      <c r="D140" s="167">
        <f t="shared" si="2"/>
        <v>33.885714285714286</v>
      </c>
      <c r="E140" s="168">
        <f t="shared" si="1"/>
        <v>-69420</v>
      </c>
    </row>
    <row r="141" spans="1:5" ht="14.25" customHeight="1">
      <c r="A141" s="169" t="s">
        <v>43</v>
      </c>
      <c r="B141" s="166">
        <v>105000</v>
      </c>
      <c r="C141" s="172">
        <v>35580</v>
      </c>
      <c r="D141" s="167">
        <f t="shared" si="2"/>
        <v>33.885714285714286</v>
      </c>
      <c r="E141" s="168">
        <f t="shared" si="1"/>
        <v>-69420</v>
      </c>
    </row>
    <row r="142" spans="1:5" ht="19.5" customHeight="1">
      <c r="A142" s="169" t="s">
        <v>145</v>
      </c>
      <c r="B142" s="199">
        <f>SUM(B143:B143)</f>
        <v>0</v>
      </c>
      <c r="C142" s="199">
        <f>SUM(C143:C143)</f>
        <v>0</v>
      </c>
      <c r="D142" s="154" t="str">
        <f t="shared" si="2"/>
        <v>   </v>
      </c>
      <c r="E142" s="155">
        <f t="shared" si="1"/>
        <v>0</v>
      </c>
    </row>
    <row r="143" spans="1:5" ht="19.5" customHeight="1">
      <c r="A143" s="156" t="s">
        <v>146</v>
      </c>
      <c r="B143" s="199">
        <v>0</v>
      </c>
      <c r="C143" s="153">
        <v>0</v>
      </c>
      <c r="D143" s="154" t="str">
        <f t="shared" si="2"/>
        <v>   </v>
      </c>
      <c r="E143" s="155">
        <f t="shared" si="1"/>
        <v>0</v>
      </c>
    </row>
    <row r="144" spans="1:5" ht="20.25" customHeight="1">
      <c r="A144" s="157" t="s">
        <v>15</v>
      </c>
      <c r="B144" s="150">
        <f>B56+B66+B68+B73+B95+B129+B130+B140+B142</f>
        <v>85546520.69</v>
      </c>
      <c r="C144" s="150">
        <f>C56+C66+C68+C73+C95+C129+C130+C140+C142</f>
        <v>30972176.82</v>
      </c>
      <c r="D144" s="141">
        <f t="shared" si="2"/>
        <v>36.205068973214836</v>
      </c>
      <c r="E144" s="142">
        <f t="shared" si="1"/>
        <v>-54574343.87</v>
      </c>
    </row>
    <row r="145" spans="1:5" s="59" customFormat="1" ht="23.25" customHeight="1">
      <c r="A145" s="80" t="s">
        <v>304</v>
      </c>
      <c r="B145" s="80"/>
      <c r="C145" s="309"/>
      <c r="D145" s="309"/>
      <c r="E145" s="309"/>
    </row>
    <row r="146" spans="1:5" s="59" customFormat="1" ht="12" customHeight="1">
      <c r="A146" s="80" t="s">
        <v>154</v>
      </c>
      <c r="B146" s="80"/>
      <c r="C146" s="81" t="s">
        <v>247</v>
      </c>
      <c r="D146" s="82"/>
      <c r="E146" s="83"/>
    </row>
    <row r="147" spans="1:5" ht="12.75">
      <c r="A147" s="7"/>
      <c r="B147" s="7"/>
      <c r="C147" s="6"/>
      <c r="D147" s="7"/>
      <c r="E147" s="2"/>
    </row>
    <row r="148" spans="1:5" ht="12.75">
      <c r="A148" s="7"/>
      <c r="B148" s="7"/>
      <c r="C148" s="6"/>
      <c r="D148" s="7"/>
      <c r="E148" s="2"/>
    </row>
    <row r="149" spans="1:5" ht="12.75">
      <c r="A149" s="7"/>
      <c r="B149" s="7"/>
      <c r="C149" s="6"/>
      <c r="D149" s="7"/>
      <c r="E149" s="2"/>
    </row>
    <row r="150" spans="1:5" ht="12.75">
      <c r="A150" s="7"/>
      <c r="B150" s="7"/>
      <c r="C150" s="6"/>
      <c r="D150" s="7"/>
      <c r="E150" s="2"/>
    </row>
  </sheetData>
  <sheetProtection/>
  <mergeCells count="2">
    <mergeCell ref="A1:E1"/>
    <mergeCell ref="C145:E145"/>
  </mergeCells>
  <printOptions/>
  <pageMargins left="0.7874015748031497" right="0.7874015748031497" top="0.4724409448818898" bottom="0.5118110236220472" header="0.5118110236220472" footer="0.5118110236220472"/>
  <pageSetup fitToHeight="3" fitToWidth="3"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1"/>
  <sheetViews>
    <sheetView zoomScalePageLayoutView="0" workbookViewId="0" topLeftCell="A28">
      <selection activeCell="C36" sqref="C36"/>
    </sheetView>
  </sheetViews>
  <sheetFormatPr defaultColWidth="9.00390625" defaultRowHeight="12.75"/>
  <cols>
    <col min="1" max="1" width="108.50390625" style="0" customWidth="1"/>
    <col min="2" max="2" width="17.00390625" style="0" customWidth="1"/>
    <col min="3" max="3" width="17.625" style="0" customWidth="1"/>
    <col min="4" max="4" width="18.125" style="0" customWidth="1"/>
    <col min="5" max="5" width="15.875" style="0" customWidth="1"/>
  </cols>
  <sheetData>
    <row r="1" spans="1:5" ht="17.25">
      <c r="A1" s="311" t="s">
        <v>321</v>
      </c>
      <c r="B1" s="311"/>
      <c r="C1" s="311"/>
      <c r="D1" s="311"/>
      <c r="E1" s="311"/>
    </row>
    <row r="2" spans="1:5" ht="12.75">
      <c r="A2" s="4"/>
      <c r="B2" s="4"/>
      <c r="C2" s="3"/>
      <c r="D2" s="3"/>
      <c r="E2" s="3"/>
    </row>
    <row r="3" spans="1:5" ht="1.5" customHeight="1" thickBot="1">
      <c r="A3" s="4"/>
      <c r="B3" s="4"/>
      <c r="C3" s="5"/>
      <c r="D3" s="4"/>
      <c r="E3" s="4" t="s">
        <v>0</v>
      </c>
    </row>
    <row r="4" spans="1:5" ht="66.75" customHeight="1">
      <c r="A4" s="34" t="s">
        <v>1</v>
      </c>
      <c r="B4" s="19" t="s">
        <v>251</v>
      </c>
      <c r="C4" s="32" t="s">
        <v>312</v>
      </c>
      <c r="D4" s="19" t="s">
        <v>255</v>
      </c>
      <c r="E4" s="36" t="s">
        <v>253</v>
      </c>
    </row>
    <row r="5" spans="1:5" ht="12.75">
      <c r="A5" s="13">
        <v>1</v>
      </c>
      <c r="B5" s="74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8" customHeight="1">
      <c r="A7" s="17" t="s">
        <v>45</v>
      </c>
      <c r="B7" s="149">
        <f>SUM(B8)</f>
        <v>29200</v>
      </c>
      <c r="C7" s="149">
        <f>SUM(C8)</f>
        <v>22238.57</v>
      </c>
      <c r="D7" s="26">
        <f aca="true" t="shared" si="0" ref="D7:D96">IF(B7=0,"   ",C7/B7*100)</f>
        <v>76.15948630136987</v>
      </c>
      <c r="E7" s="42">
        <f aca="true" t="shared" si="1" ref="E7:E97">C7-B7</f>
        <v>-6961.43</v>
      </c>
    </row>
    <row r="8" spans="1:5" ht="12.75">
      <c r="A8" s="16" t="s">
        <v>44</v>
      </c>
      <c r="B8" s="84">
        <v>29200</v>
      </c>
      <c r="C8" s="243">
        <v>22238.57</v>
      </c>
      <c r="D8" s="26">
        <f t="shared" si="0"/>
        <v>76.15948630136987</v>
      </c>
      <c r="E8" s="42">
        <f t="shared" si="1"/>
        <v>-6961.43</v>
      </c>
    </row>
    <row r="9" spans="1:5" ht="15" customHeight="1">
      <c r="A9" s="64" t="s">
        <v>137</v>
      </c>
      <c r="B9" s="200">
        <f>SUM(B10)</f>
        <v>645500</v>
      </c>
      <c r="C9" s="200">
        <f>SUM(C10)</f>
        <v>510667.03</v>
      </c>
      <c r="D9" s="26">
        <f t="shared" si="0"/>
        <v>79.11185592563903</v>
      </c>
      <c r="E9" s="42">
        <f t="shared" si="1"/>
        <v>-134832.96999999997</v>
      </c>
    </row>
    <row r="10" spans="1:5" ht="12.75">
      <c r="A10" s="41" t="s">
        <v>138</v>
      </c>
      <c r="B10" s="201">
        <v>645500</v>
      </c>
      <c r="C10" s="243">
        <v>510667.03</v>
      </c>
      <c r="D10" s="26">
        <f t="shared" si="0"/>
        <v>79.11185592563903</v>
      </c>
      <c r="E10" s="42">
        <f t="shared" si="1"/>
        <v>-134832.96999999997</v>
      </c>
    </row>
    <row r="11" spans="1:5" ht="18.75" customHeight="1">
      <c r="A11" s="16" t="s">
        <v>7</v>
      </c>
      <c r="B11" s="201">
        <f>SUM(B12:B12)</f>
        <v>0</v>
      </c>
      <c r="C11" s="201">
        <f>SUM(C12:C12)</f>
        <v>0</v>
      </c>
      <c r="D11" s="26" t="str">
        <f t="shared" si="0"/>
        <v>   </v>
      </c>
      <c r="E11" s="42">
        <f t="shared" si="1"/>
        <v>0</v>
      </c>
    </row>
    <row r="12" spans="1:5" ht="21" customHeight="1">
      <c r="A12" s="16" t="s">
        <v>26</v>
      </c>
      <c r="B12" s="201">
        <v>0</v>
      </c>
      <c r="C12" s="202">
        <v>0</v>
      </c>
      <c r="D12" s="26" t="str">
        <f t="shared" si="0"/>
        <v>   </v>
      </c>
      <c r="E12" s="42">
        <f t="shared" si="1"/>
        <v>0</v>
      </c>
    </row>
    <row r="13" spans="1:5" ht="21" customHeight="1">
      <c r="A13" s="16" t="s">
        <v>9</v>
      </c>
      <c r="B13" s="201">
        <f>SUM(B14:B15)</f>
        <v>280000</v>
      </c>
      <c r="C13" s="201">
        <f>SUM(C14:C15)</f>
        <v>112388.89</v>
      </c>
      <c r="D13" s="26">
        <f t="shared" si="0"/>
        <v>40.138889285714285</v>
      </c>
      <c r="E13" s="42">
        <f t="shared" si="1"/>
        <v>-167611.11</v>
      </c>
    </row>
    <row r="14" spans="1:5" ht="12.75">
      <c r="A14" s="16" t="s">
        <v>27</v>
      </c>
      <c r="B14" s="201">
        <v>82000</v>
      </c>
      <c r="C14" s="243">
        <v>28871.69</v>
      </c>
      <c r="D14" s="26">
        <f t="shared" si="0"/>
        <v>35.209378048780486</v>
      </c>
      <c r="E14" s="42">
        <f t="shared" si="1"/>
        <v>-53128.31</v>
      </c>
    </row>
    <row r="15" spans="1:5" ht="12.75">
      <c r="A15" s="41" t="s">
        <v>160</v>
      </c>
      <c r="B15" s="201">
        <f>SUM(B16:B17)</f>
        <v>198000</v>
      </c>
      <c r="C15" s="201">
        <f>SUM(C16:C17)</f>
        <v>83517.2</v>
      </c>
      <c r="D15" s="26">
        <f t="shared" si="0"/>
        <v>42.18040404040404</v>
      </c>
      <c r="E15" s="42">
        <f t="shared" si="1"/>
        <v>-114482.8</v>
      </c>
    </row>
    <row r="16" spans="1:5" ht="12.75">
      <c r="A16" s="41" t="s">
        <v>161</v>
      </c>
      <c r="B16" s="201">
        <v>6000</v>
      </c>
      <c r="C16" s="243">
        <v>10014.15</v>
      </c>
      <c r="D16" s="26">
        <f t="shared" si="0"/>
        <v>166.9025</v>
      </c>
      <c r="E16" s="42">
        <f t="shared" si="1"/>
        <v>4014.1499999999996</v>
      </c>
    </row>
    <row r="17" spans="1:5" ht="12.75">
      <c r="A17" s="41" t="s">
        <v>162</v>
      </c>
      <c r="B17" s="201">
        <v>192000</v>
      </c>
      <c r="C17" s="243">
        <v>73503.05</v>
      </c>
      <c r="D17" s="26">
        <f t="shared" si="0"/>
        <v>38.28283854166667</v>
      </c>
      <c r="E17" s="42">
        <f t="shared" si="1"/>
        <v>-118496.95</v>
      </c>
    </row>
    <row r="18" spans="1:5" ht="18.75" customHeight="1">
      <c r="A18" s="41" t="s">
        <v>196</v>
      </c>
      <c r="B18" s="201">
        <v>800</v>
      </c>
      <c r="C18" s="243">
        <v>1000</v>
      </c>
      <c r="D18" s="26">
        <f t="shared" si="0"/>
        <v>125</v>
      </c>
      <c r="E18" s="42">
        <f t="shared" si="1"/>
        <v>200</v>
      </c>
    </row>
    <row r="19" spans="1:5" ht="19.5" customHeight="1">
      <c r="A19" s="16" t="s">
        <v>89</v>
      </c>
      <c r="B19" s="201">
        <v>0</v>
      </c>
      <c r="C19" s="243">
        <v>0</v>
      </c>
      <c r="D19" s="26" t="str">
        <f t="shared" si="0"/>
        <v>   </v>
      </c>
      <c r="E19" s="42">
        <f t="shared" si="1"/>
        <v>0</v>
      </c>
    </row>
    <row r="20" spans="1:5" ht="30.75" customHeight="1">
      <c r="A20" s="16" t="s">
        <v>28</v>
      </c>
      <c r="B20" s="201">
        <f>SUM(B21:B23)</f>
        <v>130600</v>
      </c>
      <c r="C20" s="201">
        <f>SUM(C21:C23)</f>
        <v>52590.14</v>
      </c>
      <c r="D20" s="26">
        <f t="shared" si="0"/>
        <v>40.2681010719755</v>
      </c>
      <c r="E20" s="42">
        <f t="shared" si="1"/>
        <v>-78009.86</v>
      </c>
    </row>
    <row r="21" spans="1:5" ht="21.75" customHeight="1">
      <c r="A21" s="41" t="s">
        <v>152</v>
      </c>
      <c r="B21" s="201">
        <v>127000</v>
      </c>
      <c r="C21" s="202">
        <v>48519.54</v>
      </c>
      <c r="D21" s="26">
        <f t="shared" si="0"/>
        <v>38.20436220472441</v>
      </c>
      <c r="E21" s="42">
        <f t="shared" si="1"/>
        <v>-78480.45999999999</v>
      </c>
    </row>
    <row r="22" spans="1:5" ht="21" customHeight="1">
      <c r="A22" s="16" t="s">
        <v>30</v>
      </c>
      <c r="B22" s="201">
        <v>0</v>
      </c>
      <c r="C22" s="202">
        <v>480</v>
      </c>
      <c r="D22" s="26" t="str">
        <f t="shared" si="0"/>
        <v>   </v>
      </c>
      <c r="E22" s="42">
        <f t="shared" si="1"/>
        <v>480</v>
      </c>
    </row>
    <row r="23" spans="1:5" ht="21" customHeight="1">
      <c r="A23" s="16" t="s">
        <v>272</v>
      </c>
      <c r="B23" s="201">
        <v>3600</v>
      </c>
      <c r="C23" s="202">
        <v>3590.6</v>
      </c>
      <c r="D23" s="26">
        <f t="shared" si="0"/>
        <v>99.7388888888889</v>
      </c>
      <c r="E23" s="42">
        <f t="shared" si="1"/>
        <v>-9.400000000000091</v>
      </c>
    </row>
    <row r="24" spans="1:5" ht="20.25" customHeight="1">
      <c r="A24" s="16" t="s">
        <v>83</v>
      </c>
      <c r="B24" s="201">
        <v>0</v>
      </c>
      <c r="C24" s="202">
        <v>0</v>
      </c>
      <c r="D24" s="26" t="str">
        <f t="shared" si="0"/>
        <v>   </v>
      </c>
      <c r="E24" s="42">
        <f t="shared" si="1"/>
        <v>0</v>
      </c>
    </row>
    <row r="25" spans="1:5" ht="17.25" customHeight="1">
      <c r="A25" s="16" t="s">
        <v>76</v>
      </c>
      <c r="B25" s="200">
        <f>B26</f>
        <v>0</v>
      </c>
      <c r="C25" s="200">
        <f>C26</f>
        <v>0</v>
      </c>
      <c r="D25" s="26" t="str">
        <f t="shared" si="0"/>
        <v>   </v>
      </c>
      <c r="E25" s="42">
        <f t="shared" si="1"/>
        <v>0</v>
      </c>
    </row>
    <row r="26" spans="1:5" ht="27.75" customHeight="1">
      <c r="A26" s="16" t="s">
        <v>77</v>
      </c>
      <c r="B26" s="201">
        <v>0</v>
      </c>
      <c r="C26" s="202">
        <v>0</v>
      </c>
      <c r="D26" s="26" t="str">
        <f t="shared" si="0"/>
        <v>   </v>
      </c>
      <c r="E26" s="42">
        <f t="shared" si="1"/>
        <v>0</v>
      </c>
    </row>
    <row r="27" spans="1:5" ht="17.25" customHeight="1">
      <c r="A27" s="16" t="s">
        <v>32</v>
      </c>
      <c r="B27" s="201">
        <f>B28+B29</f>
        <v>0</v>
      </c>
      <c r="C27" s="201">
        <f>SUM(C28:C29)</f>
        <v>-1838.54</v>
      </c>
      <c r="D27" s="26" t="str">
        <f t="shared" si="0"/>
        <v>   </v>
      </c>
      <c r="E27" s="42">
        <f t="shared" si="1"/>
        <v>-1838.54</v>
      </c>
    </row>
    <row r="28" spans="1:5" ht="12.75">
      <c r="A28" s="16" t="s">
        <v>46</v>
      </c>
      <c r="B28" s="201">
        <v>0</v>
      </c>
      <c r="C28" s="201">
        <v>-1838.54</v>
      </c>
      <c r="D28" s="26" t="str">
        <f t="shared" si="0"/>
        <v>   </v>
      </c>
      <c r="E28" s="42"/>
    </row>
    <row r="29" spans="1:5" ht="12.75">
      <c r="A29" s="16" t="s">
        <v>50</v>
      </c>
      <c r="B29" s="201">
        <v>0</v>
      </c>
      <c r="C29" s="202">
        <v>0</v>
      </c>
      <c r="D29" s="26" t="str">
        <f t="shared" si="0"/>
        <v>   </v>
      </c>
      <c r="E29" s="42">
        <f t="shared" si="1"/>
        <v>0</v>
      </c>
    </row>
    <row r="30" spans="1:5" ht="15.75" customHeight="1">
      <c r="A30" s="16" t="s">
        <v>31</v>
      </c>
      <c r="B30" s="201">
        <v>0</v>
      </c>
      <c r="C30" s="201">
        <v>0</v>
      </c>
      <c r="D30" s="26" t="str">
        <f t="shared" si="0"/>
        <v>   </v>
      </c>
      <c r="E30" s="42">
        <f t="shared" si="1"/>
        <v>0</v>
      </c>
    </row>
    <row r="31" spans="1:5" ht="16.5" customHeight="1">
      <c r="A31" s="173" t="s">
        <v>10</v>
      </c>
      <c r="B31" s="150">
        <f>SUM(B7,B9,B11,B13,B20,B24,B25,B27,B30,B19,B18)</f>
        <v>1086100</v>
      </c>
      <c r="C31" s="150">
        <f>SUM(C7,C9,C11,C13,C20,C24,C25,C27,C30,C19,C18)</f>
        <v>697046.09</v>
      </c>
      <c r="D31" s="141">
        <f t="shared" si="0"/>
        <v>64.1788131847896</v>
      </c>
      <c r="E31" s="142">
        <f t="shared" si="1"/>
        <v>-389053.91000000003</v>
      </c>
    </row>
    <row r="32" spans="1:5" ht="13.5" customHeight="1">
      <c r="A32" s="181" t="s">
        <v>140</v>
      </c>
      <c r="B32" s="189">
        <f>SUM(B33:B36,B39:B42,B46)</f>
        <v>4799390</v>
      </c>
      <c r="C32" s="189">
        <f>SUM(C33:C36,C39:C42,C46)</f>
        <v>2363770</v>
      </c>
      <c r="D32" s="141">
        <f t="shared" si="0"/>
        <v>49.25146737397878</v>
      </c>
      <c r="E32" s="142">
        <f t="shared" si="1"/>
        <v>-2435620</v>
      </c>
    </row>
    <row r="33" spans="1:5" ht="19.5" customHeight="1">
      <c r="A33" s="17" t="s">
        <v>34</v>
      </c>
      <c r="B33" s="160">
        <v>1767700</v>
      </c>
      <c r="C33" s="243">
        <v>1470660</v>
      </c>
      <c r="D33" s="26">
        <f t="shared" si="0"/>
        <v>83.19624370651128</v>
      </c>
      <c r="E33" s="42">
        <f t="shared" si="1"/>
        <v>-297040</v>
      </c>
    </row>
    <row r="34" spans="1:5" ht="19.5" customHeight="1">
      <c r="A34" s="17" t="s">
        <v>229</v>
      </c>
      <c r="B34" s="160">
        <v>0</v>
      </c>
      <c r="C34" s="243">
        <v>0</v>
      </c>
      <c r="D34" s="26" t="str">
        <f t="shared" si="0"/>
        <v>   </v>
      </c>
      <c r="E34" s="42">
        <f t="shared" si="1"/>
        <v>0</v>
      </c>
    </row>
    <row r="35" spans="1:5" ht="30.75" customHeight="1">
      <c r="A35" s="134" t="s">
        <v>51</v>
      </c>
      <c r="B35" s="135">
        <v>90400</v>
      </c>
      <c r="C35" s="243">
        <v>86900</v>
      </c>
      <c r="D35" s="136">
        <f t="shared" si="0"/>
        <v>96.1283185840708</v>
      </c>
      <c r="E35" s="137">
        <f t="shared" si="1"/>
        <v>-3500</v>
      </c>
    </row>
    <row r="36" spans="1:5" ht="24.75" customHeight="1">
      <c r="A36" s="109" t="s">
        <v>148</v>
      </c>
      <c r="B36" s="135">
        <f>SUM(B37:B38)</f>
        <v>23100</v>
      </c>
      <c r="C36" s="135">
        <f>SUM(C37:C38)</f>
        <v>100</v>
      </c>
      <c r="D36" s="136">
        <f t="shared" si="0"/>
        <v>0.4329004329004329</v>
      </c>
      <c r="E36" s="137">
        <f t="shared" si="1"/>
        <v>-23000</v>
      </c>
    </row>
    <row r="37" spans="1:5" ht="16.5" customHeight="1">
      <c r="A37" s="109" t="s">
        <v>163</v>
      </c>
      <c r="B37" s="135">
        <v>100</v>
      </c>
      <c r="C37" s="138">
        <v>100</v>
      </c>
      <c r="D37" s="136">
        <f t="shared" si="0"/>
        <v>100</v>
      </c>
      <c r="E37" s="137">
        <f t="shared" si="1"/>
        <v>0</v>
      </c>
    </row>
    <row r="38" spans="1:5" ht="25.5" customHeight="1">
      <c r="A38" s="109" t="s">
        <v>164</v>
      </c>
      <c r="B38" s="135">
        <v>23000</v>
      </c>
      <c r="C38" s="138">
        <v>0</v>
      </c>
      <c r="D38" s="136">
        <f t="shared" si="0"/>
        <v>0</v>
      </c>
      <c r="E38" s="137">
        <f t="shared" si="1"/>
        <v>-23000</v>
      </c>
    </row>
    <row r="39" spans="1:5" ht="40.5" customHeight="1">
      <c r="A39" s="143" t="s">
        <v>132</v>
      </c>
      <c r="B39" s="135">
        <v>0</v>
      </c>
      <c r="C39" s="135">
        <v>0</v>
      </c>
      <c r="D39" s="136" t="str">
        <f t="shared" si="0"/>
        <v>   </v>
      </c>
      <c r="E39" s="137">
        <f t="shared" si="1"/>
        <v>0</v>
      </c>
    </row>
    <row r="40" spans="1:5" ht="27.75" customHeight="1">
      <c r="A40" s="143" t="s">
        <v>298</v>
      </c>
      <c r="B40" s="135">
        <v>400000</v>
      </c>
      <c r="C40" s="135">
        <v>0</v>
      </c>
      <c r="D40" s="136">
        <f t="shared" si="0"/>
        <v>0</v>
      </c>
      <c r="E40" s="137">
        <f t="shared" si="1"/>
        <v>-400000</v>
      </c>
    </row>
    <row r="41" spans="1:5" ht="61.5" customHeight="1">
      <c r="A41" s="16" t="s">
        <v>238</v>
      </c>
      <c r="B41" s="135">
        <v>536200</v>
      </c>
      <c r="C41" s="135">
        <v>536200</v>
      </c>
      <c r="D41" s="136">
        <f t="shared" si="0"/>
        <v>100</v>
      </c>
      <c r="E41" s="137">
        <f t="shared" si="1"/>
        <v>0</v>
      </c>
    </row>
    <row r="42" spans="1:5" ht="15.75" customHeight="1">
      <c r="A42" s="16" t="s">
        <v>55</v>
      </c>
      <c r="B42" s="166">
        <f>B45+B43+B44</f>
        <v>1981990</v>
      </c>
      <c r="C42" s="166">
        <f>C45+C43</f>
        <v>269910</v>
      </c>
      <c r="D42" s="26">
        <f t="shared" si="0"/>
        <v>13.618131272105307</v>
      </c>
      <c r="E42" s="42">
        <f t="shared" si="1"/>
        <v>-1712080</v>
      </c>
    </row>
    <row r="43" spans="1:5" ht="15" customHeight="1">
      <c r="A43" s="46" t="s">
        <v>188</v>
      </c>
      <c r="B43" s="166">
        <v>0</v>
      </c>
      <c r="C43" s="166">
        <v>0</v>
      </c>
      <c r="D43" s="26" t="str">
        <f>IF(B43=0,"   ",C43/B43*100)</f>
        <v>   </v>
      </c>
      <c r="E43" s="42">
        <f>C43-B43</f>
        <v>0</v>
      </c>
    </row>
    <row r="44" spans="1:5" ht="15" customHeight="1">
      <c r="A44" s="46" t="s">
        <v>296</v>
      </c>
      <c r="B44" s="166">
        <v>1582590</v>
      </c>
      <c r="C44" s="166">
        <v>0</v>
      </c>
      <c r="D44" s="26">
        <f>IF(B44=0,"   ",C44/B44*100)</f>
        <v>0</v>
      </c>
      <c r="E44" s="42">
        <f>C44-B44</f>
        <v>-1582590</v>
      </c>
    </row>
    <row r="45" spans="1:5" s="7" customFormat="1" ht="16.5" customHeight="1">
      <c r="A45" s="16" t="s">
        <v>109</v>
      </c>
      <c r="B45" s="166">
        <v>399400</v>
      </c>
      <c r="C45" s="166">
        <v>269910</v>
      </c>
      <c r="D45" s="47">
        <f t="shared" si="0"/>
        <v>67.57886830245367</v>
      </c>
      <c r="E45" s="40">
        <f t="shared" si="1"/>
        <v>-129490</v>
      </c>
    </row>
    <row r="46" spans="1:5" s="7" customFormat="1" ht="23.25" customHeight="1">
      <c r="A46" s="16" t="s">
        <v>199</v>
      </c>
      <c r="B46" s="166">
        <v>0</v>
      </c>
      <c r="C46" s="166">
        <v>0</v>
      </c>
      <c r="D46" s="47" t="str">
        <f>IF(B46=0,"   ",C46/B46*100)</f>
        <v>   </v>
      </c>
      <c r="E46" s="40">
        <f>C46-B46</f>
        <v>0</v>
      </c>
    </row>
    <row r="47" spans="1:5" ht="30.75" customHeight="1">
      <c r="A47" s="173" t="s">
        <v>11</v>
      </c>
      <c r="B47" s="150">
        <f>SUM(B31,B32,)</f>
        <v>5885490</v>
      </c>
      <c r="C47" s="150">
        <f>SUM(C31,C32,)</f>
        <v>3060816.09</v>
      </c>
      <c r="D47" s="141">
        <f t="shared" si="0"/>
        <v>52.00613865625462</v>
      </c>
      <c r="E47" s="142">
        <f t="shared" si="1"/>
        <v>-2824673.91</v>
      </c>
    </row>
    <row r="48" spans="1:5" ht="41.25" customHeight="1">
      <c r="A48" s="22" t="s">
        <v>12</v>
      </c>
      <c r="B48" s="44"/>
      <c r="C48" s="45"/>
      <c r="D48" s="26" t="str">
        <f t="shared" si="0"/>
        <v>   </v>
      </c>
      <c r="E48" s="42">
        <f t="shared" si="1"/>
        <v>0</v>
      </c>
    </row>
    <row r="49" spans="1:5" ht="21" customHeight="1">
      <c r="A49" s="16" t="s">
        <v>35</v>
      </c>
      <c r="B49" s="25">
        <f>SUM(B50,B53,B54)</f>
        <v>1265800</v>
      </c>
      <c r="C49" s="25">
        <f>SUM(C50,C53,C54)</f>
        <v>965305.68</v>
      </c>
      <c r="D49" s="26">
        <f t="shared" si="0"/>
        <v>76.26052140938538</v>
      </c>
      <c r="E49" s="42">
        <f t="shared" si="1"/>
        <v>-300494.31999999995</v>
      </c>
    </row>
    <row r="50" spans="1:5" ht="14.25" customHeight="1">
      <c r="A50" s="16" t="s">
        <v>36</v>
      </c>
      <c r="B50" s="25">
        <v>1259050</v>
      </c>
      <c r="C50" s="25">
        <v>965305.68</v>
      </c>
      <c r="D50" s="26">
        <f t="shared" si="0"/>
        <v>76.66936817441722</v>
      </c>
      <c r="E50" s="42">
        <f t="shared" si="1"/>
        <v>-293744.31999999995</v>
      </c>
    </row>
    <row r="51" spans="1:5" ht="12.75">
      <c r="A51" s="85" t="s">
        <v>121</v>
      </c>
      <c r="B51" s="25">
        <v>836367</v>
      </c>
      <c r="C51" s="28">
        <v>654606.27</v>
      </c>
      <c r="D51" s="26">
        <f t="shared" si="0"/>
        <v>78.26782620548157</v>
      </c>
      <c r="E51" s="42">
        <f t="shared" si="1"/>
        <v>-181760.72999999998</v>
      </c>
    </row>
    <row r="52" spans="1:5" ht="12.75">
      <c r="A52" s="85" t="s">
        <v>288</v>
      </c>
      <c r="B52" s="25">
        <v>100</v>
      </c>
      <c r="C52" s="28">
        <v>100</v>
      </c>
      <c r="D52" s="26">
        <f>IF(B52=0,"   ",C52/B52*100)</f>
        <v>100</v>
      </c>
      <c r="E52" s="42">
        <f>C52-B52</f>
        <v>0</v>
      </c>
    </row>
    <row r="53" spans="1:5" ht="12.75">
      <c r="A53" s="16" t="s">
        <v>95</v>
      </c>
      <c r="B53" s="25">
        <v>0</v>
      </c>
      <c r="C53" s="27">
        <v>0</v>
      </c>
      <c r="D53" s="26" t="str">
        <f t="shared" si="0"/>
        <v>   </v>
      </c>
      <c r="E53" s="42">
        <f t="shared" si="1"/>
        <v>0</v>
      </c>
    </row>
    <row r="54" spans="1:5" ht="12.75">
      <c r="A54" s="16" t="s">
        <v>52</v>
      </c>
      <c r="B54" s="25">
        <f>B55</f>
        <v>6750</v>
      </c>
      <c r="C54" s="25">
        <f>C55</f>
        <v>0</v>
      </c>
      <c r="D54" s="26">
        <f t="shared" si="0"/>
        <v>0</v>
      </c>
      <c r="E54" s="42">
        <f t="shared" si="1"/>
        <v>-6750</v>
      </c>
    </row>
    <row r="55" spans="1:5" ht="26.25">
      <c r="A55" s="105" t="s">
        <v>244</v>
      </c>
      <c r="B55" s="25">
        <v>6750</v>
      </c>
      <c r="C55" s="27">
        <v>0</v>
      </c>
      <c r="D55" s="26">
        <f t="shared" si="0"/>
        <v>0</v>
      </c>
      <c r="E55" s="42">
        <f t="shared" si="1"/>
        <v>-6750</v>
      </c>
    </row>
    <row r="56" spans="1:5" ht="19.5" customHeight="1">
      <c r="A56" s="16" t="s">
        <v>49</v>
      </c>
      <c r="B56" s="27">
        <f>SUM(B57)</f>
        <v>90400</v>
      </c>
      <c r="C56" s="27">
        <f>SUM(C57)</f>
        <v>74131.98</v>
      </c>
      <c r="D56" s="26">
        <f t="shared" si="0"/>
        <v>82.00440265486725</v>
      </c>
      <c r="E56" s="42">
        <f t="shared" si="1"/>
        <v>-16268.020000000004</v>
      </c>
    </row>
    <row r="57" spans="1:5" ht="15.75" customHeight="1">
      <c r="A57" s="16" t="s">
        <v>107</v>
      </c>
      <c r="B57" s="25">
        <v>90400</v>
      </c>
      <c r="C57" s="27">
        <v>74131.98</v>
      </c>
      <c r="D57" s="26">
        <f t="shared" si="0"/>
        <v>82.00440265486725</v>
      </c>
      <c r="E57" s="42">
        <f t="shared" si="1"/>
        <v>-16268.020000000004</v>
      </c>
    </row>
    <row r="58" spans="1:5" ht="21" customHeight="1">
      <c r="A58" s="16" t="s">
        <v>37</v>
      </c>
      <c r="B58" s="25">
        <f>SUM(B59)</f>
        <v>1000</v>
      </c>
      <c r="C58" s="27">
        <f>SUM(C59)</f>
        <v>1000</v>
      </c>
      <c r="D58" s="26">
        <f t="shared" si="0"/>
        <v>100</v>
      </c>
      <c r="E58" s="42">
        <f t="shared" si="1"/>
        <v>0</v>
      </c>
    </row>
    <row r="59" spans="1:5" ht="15" customHeight="1">
      <c r="A59" s="75" t="s">
        <v>128</v>
      </c>
      <c r="B59" s="25">
        <v>1000</v>
      </c>
      <c r="C59" s="27">
        <v>1000</v>
      </c>
      <c r="D59" s="26">
        <f t="shared" si="0"/>
        <v>100</v>
      </c>
      <c r="E59" s="42">
        <f t="shared" si="1"/>
        <v>0</v>
      </c>
    </row>
    <row r="60" spans="1:5" ht="19.5" customHeight="1">
      <c r="A60" s="16" t="s">
        <v>38</v>
      </c>
      <c r="B60" s="25">
        <f>SUM(B66+B61+B64+B74)</f>
        <v>1764799.25</v>
      </c>
      <c r="C60" s="25">
        <f>SUM(C66+C61+C64+C74)</f>
        <v>1386500</v>
      </c>
      <c r="D60" s="26">
        <f t="shared" si="0"/>
        <v>78.56417663368795</v>
      </c>
      <c r="E60" s="42">
        <f t="shared" si="1"/>
        <v>-378299.25</v>
      </c>
    </row>
    <row r="61" spans="1:5" ht="15" customHeight="1">
      <c r="A61" s="75" t="s">
        <v>165</v>
      </c>
      <c r="B61" s="25">
        <f>SUM(B62+B63)</f>
        <v>23000</v>
      </c>
      <c r="C61" s="25">
        <f>SUM(C62+C63)</f>
        <v>0</v>
      </c>
      <c r="D61" s="26">
        <f>IF(B61=0,"   ",C61/B61*100)</f>
        <v>0</v>
      </c>
      <c r="E61" s="42">
        <f>C61-B61</f>
        <v>-23000</v>
      </c>
    </row>
    <row r="62" spans="1:5" ht="15.75" customHeight="1">
      <c r="A62" s="75" t="s">
        <v>166</v>
      </c>
      <c r="B62" s="25">
        <v>23000</v>
      </c>
      <c r="C62" s="25">
        <v>0</v>
      </c>
      <c r="D62" s="26">
        <f>IF(B62=0,"   ",C62/B62*100)</f>
        <v>0</v>
      </c>
      <c r="E62" s="42">
        <f>C62-B62</f>
        <v>-23000</v>
      </c>
    </row>
    <row r="63" spans="1:5" ht="19.5" customHeight="1">
      <c r="A63" s="75" t="s">
        <v>169</v>
      </c>
      <c r="B63" s="25">
        <v>0</v>
      </c>
      <c r="C63" s="25">
        <v>0</v>
      </c>
      <c r="D63" s="26" t="str">
        <f>IF(B63=0,"   ",C63/B63*100)</f>
        <v>   </v>
      </c>
      <c r="E63" s="42">
        <f>C63-B63</f>
        <v>0</v>
      </c>
    </row>
    <row r="64" spans="1:5" ht="19.5" customHeight="1">
      <c r="A64" s="75" t="s">
        <v>231</v>
      </c>
      <c r="B64" s="25">
        <f>SUM(B65)</f>
        <v>60000</v>
      </c>
      <c r="C64" s="25">
        <f>SUM(C65)</f>
        <v>41300</v>
      </c>
      <c r="D64" s="26">
        <f>IF(B64=0,"   ",C64/B64*100)</f>
        <v>68.83333333333333</v>
      </c>
      <c r="E64" s="42">
        <f>C64-B64</f>
        <v>-18700</v>
      </c>
    </row>
    <row r="65" spans="1:5" ht="19.5" customHeight="1">
      <c r="A65" s="75" t="s">
        <v>232</v>
      </c>
      <c r="B65" s="25">
        <v>60000</v>
      </c>
      <c r="C65" s="25">
        <v>41300</v>
      </c>
      <c r="D65" s="26">
        <f>IF(B65=0,"   ",C65/B65*100)</f>
        <v>68.83333333333333</v>
      </c>
      <c r="E65" s="42">
        <f>C65-B65</f>
        <v>-18700</v>
      </c>
    </row>
    <row r="66" spans="1:5" ht="12.75" customHeight="1">
      <c r="A66" s="96" t="s">
        <v>131</v>
      </c>
      <c r="B66" s="25">
        <f>SUM(B67:B73)</f>
        <v>1681799.25</v>
      </c>
      <c r="C66" s="25">
        <f>SUM(C67:C73)</f>
        <v>1345200</v>
      </c>
      <c r="D66" s="26">
        <f t="shared" si="0"/>
        <v>79.98576524516822</v>
      </c>
      <c r="E66" s="42">
        <f t="shared" si="1"/>
        <v>-336599.25</v>
      </c>
    </row>
    <row r="67" spans="1:5" ht="24.75" customHeight="1">
      <c r="A67" s="75" t="s">
        <v>149</v>
      </c>
      <c r="B67" s="25">
        <v>0</v>
      </c>
      <c r="C67" s="25">
        <v>0</v>
      </c>
      <c r="D67" s="26" t="str">
        <f t="shared" si="0"/>
        <v>   </v>
      </c>
      <c r="E67" s="137">
        <f t="shared" si="1"/>
        <v>0</v>
      </c>
    </row>
    <row r="68" spans="1:5" ht="33.75" customHeight="1">
      <c r="A68" s="71" t="s">
        <v>257</v>
      </c>
      <c r="B68" s="25">
        <v>500499.25</v>
      </c>
      <c r="C68" s="25">
        <v>449500</v>
      </c>
      <c r="D68" s="26">
        <f t="shared" si="0"/>
        <v>89.81032439109549</v>
      </c>
      <c r="E68" s="137">
        <f t="shared" si="1"/>
        <v>-50999.25</v>
      </c>
    </row>
    <row r="69" spans="1:5" ht="26.25" customHeight="1">
      <c r="A69" s="71" t="s">
        <v>258</v>
      </c>
      <c r="B69" s="25">
        <v>141700</v>
      </c>
      <c r="C69" s="25">
        <v>0</v>
      </c>
      <c r="D69" s="26">
        <f t="shared" si="0"/>
        <v>0</v>
      </c>
      <c r="E69" s="42">
        <f t="shared" si="1"/>
        <v>-141700</v>
      </c>
    </row>
    <row r="70" spans="1:5" ht="26.25" customHeight="1">
      <c r="A70" s="71" t="s">
        <v>259</v>
      </c>
      <c r="B70" s="25">
        <v>536200</v>
      </c>
      <c r="C70" s="25">
        <v>536200</v>
      </c>
      <c r="D70" s="26">
        <f t="shared" si="0"/>
        <v>100</v>
      </c>
      <c r="E70" s="42">
        <f t="shared" si="1"/>
        <v>0</v>
      </c>
    </row>
    <row r="71" spans="1:5" ht="26.25" customHeight="1">
      <c r="A71" s="71" t="s">
        <v>260</v>
      </c>
      <c r="B71" s="25">
        <v>59600</v>
      </c>
      <c r="C71" s="25">
        <v>59600</v>
      </c>
      <c r="D71" s="26">
        <f>IF(B71=0,"   ",C71/B71*100)</f>
        <v>100</v>
      </c>
      <c r="E71" s="42">
        <f>C71-B71</f>
        <v>0</v>
      </c>
    </row>
    <row r="72" spans="1:5" ht="26.25" customHeight="1">
      <c r="A72" s="71" t="s">
        <v>261</v>
      </c>
      <c r="B72" s="25">
        <v>399400</v>
      </c>
      <c r="C72" s="25">
        <v>269910</v>
      </c>
      <c r="D72" s="26">
        <f>IF(B72=0,"   ",C72/B72*100)</f>
        <v>67.57886830245367</v>
      </c>
      <c r="E72" s="42">
        <f>C72-B72</f>
        <v>-129490</v>
      </c>
    </row>
    <row r="73" spans="1:5" ht="23.25" customHeight="1">
      <c r="A73" s="71" t="s">
        <v>262</v>
      </c>
      <c r="B73" s="25">
        <v>44400</v>
      </c>
      <c r="C73" s="25">
        <v>29990</v>
      </c>
      <c r="D73" s="26">
        <f t="shared" si="0"/>
        <v>67.54504504504504</v>
      </c>
      <c r="E73" s="42">
        <f t="shared" si="1"/>
        <v>-14410</v>
      </c>
    </row>
    <row r="74" spans="1:5" ht="18.75" customHeight="1">
      <c r="A74" s="96" t="s">
        <v>177</v>
      </c>
      <c r="B74" s="25">
        <f>SUM(B75)</f>
        <v>0</v>
      </c>
      <c r="C74" s="25">
        <f>SUM(C75)</f>
        <v>0</v>
      </c>
      <c r="D74" s="26" t="str">
        <f>IF(B74=0,"   ",C74/B74*100)</f>
        <v>   </v>
      </c>
      <c r="E74" s="42">
        <f>C74-B74</f>
        <v>0</v>
      </c>
    </row>
    <row r="75" spans="1:5" ht="23.25" customHeight="1">
      <c r="A75" s="75" t="s">
        <v>178</v>
      </c>
      <c r="B75" s="25">
        <v>0</v>
      </c>
      <c r="C75" s="25">
        <v>0</v>
      </c>
      <c r="D75" s="26" t="str">
        <f>IF(B75=0,"   ",C75/B75*100)</f>
        <v>   </v>
      </c>
      <c r="E75" s="42">
        <f>C75-B75</f>
        <v>0</v>
      </c>
    </row>
    <row r="76" spans="1:5" ht="18.75" customHeight="1">
      <c r="A76" s="16" t="s">
        <v>13</v>
      </c>
      <c r="B76" s="25">
        <f>SUM(B83+B77+B79)</f>
        <v>2244590</v>
      </c>
      <c r="C76" s="25">
        <f>SUM(C83+C77+C79)</f>
        <v>122995.55</v>
      </c>
      <c r="D76" s="26">
        <f t="shared" si="0"/>
        <v>5.479644389398509</v>
      </c>
      <c r="E76" s="42">
        <f t="shared" si="1"/>
        <v>-2121594.45</v>
      </c>
    </row>
    <row r="77" spans="1:5" ht="12.75" customHeight="1">
      <c r="A77" s="86" t="s">
        <v>14</v>
      </c>
      <c r="B77" s="25">
        <f>B78</f>
        <v>0</v>
      </c>
      <c r="C77" s="25">
        <f>C78</f>
        <v>0</v>
      </c>
      <c r="D77" s="26" t="str">
        <f aca="true" t="shared" si="2" ref="D77:D82">IF(B77=0,"   ",C77/B77*100)</f>
        <v>   </v>
      </c>
      <c r="E77" s="42">
        <f aca="true" t="shared" si="3" ref="E77:E82">C77-B77</f>
        <v>0</v>
      </c>
    </row>
    <row r="78" spans="1:5" ht="12.75" customHeight="1">
      <c r="A78" s="156" t="s">
        <v>171</v>
      </c>
      <c r="B78" s="25">
        <v>0</v>
      </c>
      <c r="C78" s="25">
        <v>0</v>
      </c>
      <c r="D78" s="26" t="str">
        <f t="shared" si="2"/>
        <v>   </v>
      </c>
      <c r="E78" s="42">
        <f t="shared" si="3"/>
        <v>0</v>
      </c>
    </row>
    <row r="79" spans="1:5" ht="13.5" customHeight="1">
      <c r="A79" s="86" t="s">
        <v>64</v>
      </c>
      <c r="B79" s="25">
        <f>B80+B81+B82</f>
        <v>1738620</v>
      </c>
      <c r="C79" s="25">
        <f>C80+C81+C82</f>
        <v>65570</v>
      </c>
      <c r="D79" s="26">
        <f t="shared" si="2"/>
        <v>3.7713819005878224</v>
      </c>
      <c r="E79" s="42">
        <f t="shared" si="3"/>
        <v>-1673050</v>
      </c>
    </row>
    <row r="80" spans="1:5" ht="14.25" customHeight="1">
      <c r="A80" s="156" t="s">
        <v>142</v>
      </c>
      <c r="B80" s="25">
        <v>50000</v>
      </c>
      <c r="C80" s="25">
        <v>50000</v>
      </c>
      <c r="D80" s="26">
        <f t="shared" si="2"/>
        <v>100</v>
      </c>
      <c r="E80" s="42">
        <f t="shared" si="3"/>
        <v>0</v>
      </c>
    </row>
    <row r="81" spans="1:5" ht="14.25" customHeight="1">
      <c r="A81" s="16" t="s">
        <v>301</v>
      </c>
      <c r="B81" s="25">
        <v>1582590</v>
      </c>
      <c r="C81" s="25">
        <v>0</v>
      </c>
      <c r="D81" s="26">
        <f t="shared" si="2"/>
        <v>0</v>
      </c>
      <c r="E81" s="42">
        <f t="shared" si="3"/>
        <v>-1582590</v>
      </c>
    </row>
    <row r="82" spans="1:5" ht="14.25" customHeight="1">
      <c r="A82" s="16" t="s">
        <v>327</v>
      </c>
      <c r="B82" s="25">
        <v>106030</v>
      </c>
      <c r="C82" s="25">
        <v>15570</v>
      </c>
      <c r="D82" s="26">
        <f t="shared" si="2"/>
        <v>14.68452324813732</v>
      </c>
      <c r="E82" s="42">
        <f t="shared" si="3"/>
        <v>-90460</v>
      </c>
    </row>
    <row r="83" spans="1:5" ht="12.75">
      <c r="A83" s="16" t="s">
        <v>58</v>
      </c>
      <c r="B83" s="25">
        <f>B84+B86+B85+B91+B87</f>
        <v>505970</v>
      </c>
      <c r="C83" s="25">
        <f>C84+C86+C85+C91+C87</f>
        <v>57425.55</v>
      </c>
      <c r="D83" s="26">
        <f t="shared" si="0"/>
        <v>11.349595825839478</v>
      </c>
      <c r="E83" s="42">
        <f t="shared" si="1"/>
        <v>-448544.45</v>
      </c>
    </row>
    <row r="84" spans="1:5" ht="12.75">
      <c r="A84" s="16" t="s">
        <v>56</v>
      </c>
      <c r="B84" s="25">
        <v>105970</v>
      </c>
      <c r="C84" s="27">
        <v>57425.55</v>
      </c>
      <c r="D84" s="26">
        <f t="shared" si="0"/>
        <v>54.19038407096348</v>
      </c>
      <c r="E84" s="42">
        <f t="shared" si="1"/>
        <v>-48544.45</v>
      </c>
    </row>
    <row r="85" spans="1:5" ht="26.25">
      <c r="A85" s="105" t="s">
        <v>302</v>
      </c>
      <c r="B85" s="25">
        <v>400000</v>
      </c>
      <c r="C85" s="27">
        <v>0</v>
      </c>
      <c r="D85" s="26">
        <f t="shared" si="0"/>
        <v>0</v>
      </c>
      <c r="E85" s="42">
        <f t="shared" si="1"/>
        <v>-400000</v>
      </c>
    </row>
    <row r="86" spans="1:5" ht="12.75">
      <c r="A86" s="16" t="s">
        <v>59</v>
      </c>
      <c r="B86" s="25">
        <v>0</v>
      </c>
      <c r="C86" s="27">
        <v>0</v>
      </c>
      <c r="D86" s="26" t="str">
        <f t="shared" si="0"/>
        <v>   </v>
      </c>
      <c r="E86" s="42">
        <f t="shared" si="1"/>
        <v>0</v>
      </c>
    </row>
    <row r="87" spans="1:5" ht="13.5" customHeight="1">
      <c r="A87" s="105" t="s">
        <v>206</v>
      </c>
      <c r="B87" s="25">
        <f>SUM(B88:B90)</f>
        <v>0</v>
      </c>
      <c r="C87" s="25">
        <f>SUM(C88:C90)</f>
        <v>0</v>
      </c>
      <c r="D87" s="26" t="str">
        <f>IF(B87=0,"   ",C87/B87*100)</f>
        <v>   </v>
      </c>
      <c r="E87" s="42">
        <f>C87-B87</f>
        <v>0</v>
      </c>
    </row>
    <row r="88" spans="1:5" ht="26.25">
      <c r="A88" s="105" t="s">
        <v>213</v>
      </c>
      <c r="B88" s="25">
        <v>0</v>
      </c>
      <c r="C88" s="27">
        <v>0</v>
      </c>
      <c r="D88" s="26" t="str">
        <f t="shared" si="0"/>
        <v>   </v>
      </c>
      <c r="E88" s="42">
        <f t="shared" si="1"/>
        <v>0</v>
      </c>
    </row>
    <row r="89" spans="1:5" ht="26.25">
      <c r="A89" s="105" t="s">
        <v>214</v>
      </c>
      <c r="B89" s="25">
        <v>0</v>
      </c>
      <c r="C89" s="27">
        <v>0</v>
      </c>
      <c r="D89" s="26" t="str">
        <f t="shared" si="0"/>
        <v>   </v>
      </c>
      <c r="E89" s="42">
        <f t="shared" si="1"/>
        <v>0</v>
      </c>
    </row>
    <row r="90" spans="1:5" ht="26.25">
      <c r="A90" s="105" t="s">
        <v>215</v>
      </c>
      <c r="B90" s="25">
        <v>0</v>
      </c>
      <c r="C90" s="27">
        <v>0</v>
      </c>
      <c r="D90" s="26" t="str">
        <f t="shared" si="0"/>
        <v>   </v>
      </c>
      <c r="E90" s="42">
        <f t="shared" si="1"/>
        <v>0</v>
      </c>
    </row>
    <row r="91" spans="1:5" ht="12.75">
      <c r="A91" s="156" t="s">
        <v>94</v>
      </c>
      <c r="B91" s="25">
        <v>0</v>
      </c>
      <c r="C91" s="27">
        <v>0</v>
      </c>
      <c r="D91" s="26" t="str">
        <f t="shared" si="0"/>
        <v>   </v>
      </c>
      <c r="E91" s="42">
        <f t="shared" si="1"/>
        <v>0</v>
      </c>
    </row>
    <row r="92" spans="1:5" ht="14.25" customHeight="1">
      <c r="A92" s="18" t="s">
        <v>17</v>
      </c>
      <c r="B92" s="31">
        <v>8000</v>
      </c>
      <c r="C92" s="31">
        <v>8000</v>
      </c>
      <c r="D92" s="26">
        <f t="shared" si="0"/>
        <v>100</v>
      </c>
      <c r="E92" s="42">
        <f t="shared" si="1"/>
        <v>0</v>
      </c>
    </row>
    <row r="93" spans="1:5" ht="13.5" customHeight="1">
      <c r="A93" s="16" t="s">
        <v>41</v>
      </c>
      <c r="B93" s="24">
        <f>B94</f>
        <v>611600</v>
      </c>
      <c r="C93" s="24">
        <f>C94</f>
        <v>357455</v>
      </c>
      <c r="D93" s="26">
        <f t="shared" si="0"/>
        <v>58.44587965990844</v>
      </c>
      <c r="E93" s="42">
        <f t="shared" si="1"/>
        <v>-254145</v>
      </c>
    </row>
    <row r="94" spans="1:5" ht="12.75">
      <c r="A94" s="16" t="s">
        <v>42</v>
      </c>
      <c r="B94" s="25">
        <v>611600</v>
      </c>
      <c r="C94" s="27">
        <v>357455</v>
      </c>
      <c r="D94" s="26">
        <f t="shared" si="0"/>
        <v>58.44587965990844</v>
      </c>
      <c r="E94" s="42">
        <f t="shared" si="1"/>
        <v>-254145</v>
      </c>
    </row>
    <row r="95" spans="1:5" ht="18.75" customHeight="1">
      <c r="A95" s="16" t="s">
        <v>124</v>
      </c>
      <c r="B95" s="25">
        <f>SUM(B96,)</f>
        <v>0</v>
      </c>
      <c r="C95" s="25">
        <f>SUM(C96,)</f>
        <v>0</v>
      </c>
      <c r="D95" s="26" t="str">
        <f t="shared" si="0"/>
        <v>   </v>
      </c>
      <c r="E95" s="42">
        <f t="shared" si="1"/>
        <v>0</v>
      </c>
    </row>
    <row r="96" spans="1:5" ht="12.75">
      <c r="A96" s="16" t="s">
        <v>43</v>
      </c>
      <c r="B96" s="25">
        <v>0</v>
      </c>
      <c r="C96" s="28">
        <v>0</v>
      </c>
      <c r="D96" s="26" t="str">
        <f t="shared" si="0"/>
        <v>   </v>
      </c>
      <c r="E96" s="42">
        <f t="shared" si="1"/>
        <v>0</v>
      </c>
    </row>
    <row r="97" spans="1:5" ht="22.5" customHeight="1">
      <c r="A97" s="173" t="s">
        <v>15</v>
      </c>
      <c r="B97" s="150">
        <f>B49+B56+B58+B60+B76+B92+B93+B95</f>
        <v>5986189.25</v>
      </c>
      <c r="C97" s="150">
        <f>C49+C56+C58+C60+C76+C92+C93+C95</f>
        <v>2915388.21</v>
      </c>
      <c r="D97" s="141">
        <f>IF(B97=0,"   ",C97/B97*100)</f>
        <v>48.701905139400665</v>
      </c>
      <c r="E97" s="142">
        <f t="shared" si="1"/>
        <v>-3070801.04</v>
      </c>
    </row>
    <row r="98" spans="1:5" s="59" customFormat="1" ht="23.25" customHeight="1">
      <c r="A98" s="80" t="s">
        <v>304</v>
      </c>
      <c r="B98" s="80"/>
      <c r="C98" s="309"/>
      <c r="D98" s="309"/>
      <c r="E98" s="309"/>
    </row>
    <row r="99" spans="1:5" s="59" customFormat="1" ht="12" customHeight="1">
      <c r="A99" s="80" t="s">
        <v>154</v>
      </c>
      <c r="B99" s="80"/>
      <c r="C99" s="81" t="s">
        <v>247</v>
      </c>
      <c r="D99" s="82"/>
      <c r="E99" s="83"/>
    </row>
    <row r="100" spans="1:5" ht="12.75">
      <c r="A100" s="7"/>
      <c r="B100" s="7"/>
      <c r="C100" s="6"/>
      <c r="D100" s="7"/>
      <c r="E100" s="2"/>
    </row>
    <row r="101" spans="1:5" ht="12.75">
      <c r="A101" s="7"/>
      <c r="B101" s="7"/>
      <c r="C101" s="6"/>
      <c r="D101" s="7"/>
      <c r="E101" s="2"/>
    </row>
    <row r="102" spans="1:5" ht="12.75">
      <c r="A102" s="7"/>
      <c r="B102" s="7"/>
      <c r="C102" s="6"/>
      <c r="D102" s="7"/>
      <c r="E102" s="2"/>
    </row>
    <row r="103" spans="1:5" ht="12.75">
      <c r="A103" s="7"/>
      <c r="B103" s="7"/>
      <c r="C103" s="6"/>
      <c r="D103" s="7"/>
      <c r="E103" s="2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</sheetData>
  <sheetProtection/>
  <mergeCells count="2">
    <mergeCell ref="A1:E1"/>
    <mergeCell ref="C98:E98"/>
  </mergeCells>
  <printOptions/>
  <pageMargins left="0.984251968503937" right="0.7874015748031497" top="0.5118110236220472" bottom="0.4724409448818898" header="0.5118110236220472" footer="0.5118110236220472"/>
  <pageSetup fitToHeight="2" fitToWidth="1" horizontalDpi="600" verticalDpi="600" orientation="landscape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5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102.50390625" style="0" customWidth="1"/>
    <col min="2" max="2" width="15.125" style="0" customWidth="1"/>
    <col min="3" max="3" width="18.625" style="0" customWidth="1"/>
    <col min="4" max="4" width="18.50390625" style="0" customWidth="1"/>
    <col min="5" max="5" width="16.00390625" style="0" customWidth="1"/>
  </cols>
  <sheetData>
    <row r="1" spans="1:5" ht="17.25">
      <c r="A1" s="311" t="s">
        <v>322</v>
      </c>
      <c r="B1" s="311"/>
      <c r="C1" s="311"/>
      <c r="D1" s="311"/>
      <c r="E1" s="311"/>
    </row>
    <row r="2" spans="1:5" ht="12.75" customHeight="1" thickBot="1">
      <c r="A2" s="4"/>
      <c r="B2" s="4"/>
      <c r="C2" s="3"/>
      <c r="D2" s="3"/>
      <c r="E2" s="3"/>
    </row>
    <row r="3" spans="1:5" ht="5.25" customHeight="1" hidden="1" thickBot="1">
      <c r="A3" s="4"/>
      <c r="B3" s="4"/>
      <c r="C3" s="5"/>
      <c r="D3" s="4"/>
      <c r="E3" s="4" t="s">
        <v>0</v>
      </c>
    </row>
    <row r="4" spans="1:5" ht="72.75" customHeight="1">
      <c r="A4" s="34" t="s">
        <v>1</v>
      </c>
      <c r="B4" s="19" t="s">
        <v>251</v>
      </c>
      <c r="C4" s="32" t="s">
        <v>312</v>
      </c>
      <c r="D4" s="19" t="s">
        <v>255</v>
      </c>
      <c r="E4" s="36" t="s">
        <v>253</v>
      </c>
    </row>
    <row r="5" spans="1:5" ht="12.75">
      <c r="A5" s="13">
        <v>1</v>
      </c>
      <c r="B5" s="74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6.5" customHeight="1">
      <c r="A7" s="17" t="s">
        <v>45</v>
      </c>
      <c r="B7" s="149">
        <f>SUM(B8)</f>
        <v>416700</v>
      </c>
      <c r="C7" s="149">
        <f>SUM(C8)</f>
        <v>300064.43</v>
      </c>
      <c r="D7" s="26">
        <f aca="true" t="shared" si="0" ref="D7:D106">IF(B7=0,"   ",C7/B7*100)</f>
        <v>72.0097024238061</v>
      </c>
      <c r="E7" s="42">
        <f aca="true" t="shared" si="1" ref="E7:E107">C7-B7</f>
        <v>-116635.57</v>
      </c>
    </row>
    <row r="8" spans="1:5" ht="12.75">
      <c r="A8" s="16" t="s">
        <v>44</v>
      </c>
      <c r="B8" s="84">
        <v>416700</v>
      </c>
      <c r="C8" s="243">
        <v>300064.43</v>
      </c>
      <c r="D8" s="26">
        <f t="shared" si="0"/>
        <v>72.0097024238061</v>
      </c>
      <c r="E8" s="42">
        <f t="shared" si="1"/>
        <v>-116635.57</v>
      </c>
    </row>
    <row r="9" spans="1:5" ht="18" customHeight="1">
      <c r="A9" s="64" t="s">
        <v>137</v>
      </c>
      <c r="B9" s="200">
        <f>SUM(B10)</f>
        <v>897100</v>
      </c>
      <c r="C9" s="200">
        <f>SUM(C10)</f>
        <v>709706.5</v>
      </c>
      <c r="D9" s="26">
        <f t="shared" si="0"/>
        <v>79.11119161743395</v>
      </c>
      <c r="E9" s="42">
        <f t="shared" si="1"/>
        <v>-187393.5</v>
      </c>
    </row>
    <row r="10" spans="1:5" ht="12.75">
      <c r="A10" s="41" t="s">
        <v>138</v>
      </c>
      <c r="B10" s="201">
        <v>897100</v>
      </c>
      <c r="C10" s="243">
        <v>709706.5</v>
      </c>
      <c r="D10" s="26">
        <f t="shared" si="0"/>
        <v>79.11119161743395</v>
      </c>
      <c r="E10" s="42">
        <f t="shared" si="1"/>
        <v>-187393.5</v>
      </c>
    </row>
    <row r="11" spans="1:5" ht="16.5" customHeight="1">
      <c r="A11" s="16" t="s">
        <v>7</v>
      </c>
      <c r="B11" s="201">
        <f>SUM(B12:B12)</f>
        <v>39900</v>
      </c>
      <c r="C11" s="201">
        <f>C12</f>
        <v>42580</v>
      </c>
      <c r="D11" s="26">
        <f t="shared" si="0"/>
        <v>106.71679197994987</v>
      </c>
      <c r="E11" s="42">
        <f t="shared" si="1"/>
        <v>2680</v>
      </c>
    </row>
    <row r="12" spans="1:5" ht="12.75">
      <c r="A12" s="16" t="s">
        <v>26</v>
      </c>
      <c r="B12" s="201">
        <v>39900</v>
      </c>
      <c r="C12" s="243">
        <v>42580</v>
      </c>
      <c r="D12" s="26">
        <f t="shared" si="0"/>
        <v>106.71679197994987</v>
      </c>
      <c r="E12" s="42">
        <f t="shared" si="1"/>
        <v>2680</v>
      </c>
    </row>
    <row r="13" spans="1:5" ht="18" customHeight="1">
      <c r="A13" s="16" t="s">
        <v>9</v>
      </c>
      <c r="B13" s="201">
        <f>SUM(B14:B15)</f>
        <v>661500</v>
      </c>
      <c r="C13" s="201">
        <f>SUM(C14:C15)</f>
        <v>347319.85</v>
      </c>
      <c r="D13" s="26">
        <f t="shared" si="0"/>
        <v>52.50489040060469</v>
      </c>
      <c r="E13" s="42">
        <f t="shared" si="1"/>
        <v>-314180.15</v>
      </c>
    </row>
    <row r="14" spans="1:5" ht="12.75">
      <c r="A14" s="16" t="s">
        <v>27</v>
      </c>
      <c r="B14" s="201">
        <v>237500</v>
      </c>
      <c r="C14" s="243">
        <v>119575.42</v>
      </c>
      <c r="D14" s="26">
        <f t="shared" si="0"/>
        <v>50.34754526315789</v>
      </c>
      <c r="E14" s="42">
        <f t="shared" si="1"/>
        <v>-117924.58</v>
      </c>
    </row>
    <row r="15" spans="1:5" ht="12.75">
      <c r="A15" s="41" t="s">
        <v>160</v>
      </c>
      <c r="B15" s="201">
        <f>SUM(B16:B17)</f>
        <v>424000</v>
      </c>
      <c r="C15" s="201">
        <f>SUM(C16:C17)</f>
        <v>227744.43</v>
      </c>
      <c r="D15" s="26">
        <f t="shared" si="0"/>
        <v>53.71330896226415</v>
      </c>
      <c r="E15" s="42">
        <f t="shared" si="1"/>
        <v>-196255.57</v>
      </c>
    </row>
    <row r="16" spans="1:5" ht="12.75">
      <c r="A16" s="41" t="s">
        <v>161</v>
      </c>
      <c r="B16" s="201">
        <v>130000</v>
      </c>
      <c r="C16" s="243">
        <v>95371.36</v>
      </c>
      <c r="D16" s="26">
        <f t="shared" si="0"/>
        <v>73.36258461538462</v>
      </c>
      <c r="E16" s="42">
        <f t="shared" si="1"/>
        <v>-34628.64</v>
      </c>
    </row>
    <row r="17" spans="1:5" ht="12.75">
      <c r="A17" s="41" t="s">
        <v>162</v>
      </c>
      <c r="B17" s="201">
        <v>294000</v>
      </c>
      <c r="C17" s="243">
        <v>132373.07</v>
      </c>
      <c r="D17" s="26">
        <f t="shared" si="0"/>
        <v>45.0248537414966</v>
      </c>
      <c r="E17" s="42">
        <f t="shared" si="1"/>
        <v>-161626.93</v>
      </c>
    </row>
    <row r="18" spans="1:5" ht="12.75">
      <c r="A18" s="41" t="s">
        <v>196</v>
      </c>
      <c r="B18" s="201">
        <v>3600</v>
      </c>
      <c r="C18" s="243">
        <v>7443</v>
      </c>
      <c r="D18" s="26">
        <f t="shared" si="0"/>
        <v>206.75</v>
      </c>
      <c r="E18" s="42">
        <f t="shared" si="1"/>
        <v>3843</v>
      </c>
    </row>
    <row r="19" spans="1:5" ht="26.25" customHeight="1">
      <c r="A19" s="16" t="s">
        <v>89</v>
      </c>
      <c r="B19" s="201">
        <v>0</v>
      </c>
      <c r="C19" s="202">
        <v>0</v>
      </c>
      <c r="D19" s="26" t="str">
        <f t="shared" si="0"/>
        <v>   </v>
      </c>
      <c r="E19" s="42">
        <f t="shared" si="1"/>
        <v>0</v>
      </c>
    </row>
    <row r="20" spans="1:5" ht="30" customHeight="1">
      <c r="A20" s="16" t="s">
        <v>28</v>
      </c>
      <c r="B20" s="201">
        <f>SUM(B21:B24)</f>
        <v>75300</v>
      </c>
      <c r="C20" s="201">
        <f>SUM(C21:C24)</f>
        <v>136154.38</v>
      </c>
      <c r="D20" s="26">
        <f t="shared" si="0"/>
        <v>180.81590969455513</v>
      </c>
      <c r="E20" s="42">
        <f t="shared" si="1"/>
        <v>60854.380000000005</v>
      </c>
    </row>
    <row r="21" spans="1:5" ht="12.75">
      <c r="A21" s="16" t="s">
        <v>29</v>
      </c>
      <c r="B21" s="201">
        <v>0</v>
      </c>
      <c r="C21" s="202">
        <v>0</v>
      </c>
      <c r="D21" s="26" t="str">
        <f t="shared" si="0"/>
        <v>   </v>
      </c>
      <c r="E21" s="42">
        <f t="shared" si="1"/>
        <v>0</v>
      </c>
    </row>
    <row r="22" spans="1:5" ht="12.75">
      <c r="A22" s="41" t="s">
        <v>152</v>
      </c>
      <c r="B22" s="201">
        <v>43300</v>
      </c>
      <c r="C22" s="202">
        <v>86078.98</v>
      </c>
      <c r="D22" s="26">
        <f t="shared" si="0"/>
        <v>198.7967205542725</v>
      </c>
      <c r="E22" s="42">
        <f t="shared" si="1"/>
        <v>42778.979999999996</v>
      </c>
    </row>
    <row r="23" spans="1:5" ht="15.75" customHeight="1">
      <c r="A23" s="16" t="s">
        <v>30</v>
      </c>
      <c r="B23" s="201">
        <v>16000</v>
      </c>
      <c r="C23" s="201">
        <v>16000</v>
      </c>
      <c r="D23" s="26">
        <f t="shared" si="0"/>
        <v>100</v>
      </c>
      <c r="E23" s="42">
        <f t="shared" si="1"/>
        <v>0</v>
      </c>
    </row>
    <row r="24" spans="1:5" ht="42" customHeight="1">
      <c r="A24" s="16" t="s">
        <v>226</v>
      </c>
      <c r="B24" s="201">
        <v>16000</v>
      </c>
      <c r="C24" s="243">
        <v>34075.4</v>
      </c>
      <c r="D24" s="26">
        <f t="shared" si="0"/>
        <v>212.97125</v>
      </c>
      <c r="E24" s="42">
        <f t="shared" si="1"/>
        <v>18075.4</v>
      </c>
    </row>
    <row r="25" spans="1:5" ht="15.75" customHeight="1">
      <c r="A25" s="39" t="s">
        <v>91</v>
      </c>
      <c r="B25" s="201">
        <v>4500</v>
      </c>
      <c r="C25" s="243">
        <v>9955.62</v>
      </c>
      <c r="D25" s="26">
        <f t="shared" si="0"/>
        <v>221.23600000000005</v>
      </c>
      <c r="E25" s="42">
        <f t="shared" si="1"/>
        <v>5455.620000000001</v>
      </c>
    </row>
    <row r="26" spans="1:5" ht="15" customHeight="1">
      <c r="A26" s="16" t="s">
        <v>78</v>
      </c>
      <c r="B26" s="201">
        <f>SUM(B27:B28)</f>
        <v>0</v>
      </c>
      <c r="C26" s="201">
        <f>SUM(C27:C28)</f>
        <v>0</v>
      </c>
      <c r="D26" s="26" t="str">
        <f t="shared" si="0"/>
        <v>   </v>
      </c>
      <c r="E26" s="42">
        <f t="shared" si="1"/>
        <v>0</v>
      </c>
    </row>
    <row r="27" spans="1:5" ht="13.5" customHeight="1">
      <c r="A27" s="41" t="s">
        <v>134</v>
      </c>
      <c r="B27" s="201">
        <v>0</v>
      </c>
      <c r="C27" s="243">
        <v>0</v>
      </c>
      <c r="D27" s="26" t="str">
        <f t="shared" si="0"/>
        <v>   </v>
      </c>
      <c r="E27" s="42">
        <f t="shared" si="1"/>
        <v>0</v>
      </c>
    </row>
    <row r="28" spans="1:5" ht="26.25" customHeight="1">
      <c r="A28" s="16" t="s">
        <v>79</v>
      </c>
      <c r="B28" s="201">
        <v>0</v>
      </c>
      <c r="C28" s="243">
        <v>0</v>
      </c>
      <c r="D28" s="26" t="str">
        <f t="shared" si="0"/>
        <v>   </v>
      </c>
      <c r="E28" s="42">
        <f t="shared" si="1"/>
        <v>0</v>
      </c>
    </row>
    <row r="29" spans="1:5" ht="16.5" customHeight="1">
      <c r="A29" s="16" t="s">
        <v>31</v>
      </c>
      <c r="B29" s="201">
        <v>0</v>
      </c>
      <c r="C29" s="201">
        <v>0</v>
      </c>
      <c r="D29" s="26"/>
      <c r="E29" s="42">
        <f t="shared" si="1"/>
        <v>0</v>
      </c>
    </row>
    <row r="30" spans="1:5" ht="18.75" customHeight="1">
      <c r="A30" s="16" t="s">
        <v>32</v>
      </c>
      <c r="B30" s="201">
        <f>B31+B32</f>
        <v>0</v>
      </c>
      <c r="C30" s="200">
        <f>C31+C32</f>
        <v>-14794.24</v>
      </c>
      <c r="D30" s="26" t="str">
        <f t="shared" si="0"/>
        <v>   </v>
      </c>
      <c r="E30" s="42">
        <f t="shared" si="1"/>
        <v>-14794.24</v>
      </c>
    </row>
    <row r="31" spans="1:5" ht="13.5" customHeight="1">
      <c r="A31" s="16" t="s">
        <v>126</v>
      </c>
      <c r="B31" s="201">
        <v>0</v>
      </c>
      <c r="C31" s="202">
        <v>-14794.24</v>
      </c>
      <c r="D31" s="26" t="str">
        <f t="shared" si="0"/>
        <v>   </v>
      </c>
      <c r="E31" s="42">
        <f t="shared" si="1"/>
        <v>-14794.24</v>
      </c>
    </row>
    <row r="32" spans="1:5" ht="13.5" customHeight="1">
      <c r="A32" s="16" t="s">
        <v>129</v>
      </c>
      <c r="B32" s="201">
        <v>0</v>
      </c>
      <c r="C32" s="202">
        <v>0</v>
      </c>
      <c r="D32" s="26"/>
      <c r="E32" s="42">
        <f t="shared" si="1"/>
        <v>0</v>
      </c>
    </row>
    <row r="33" spans="1:5" ht="21" customHeight="1">
      <c r="A33" s="173" t="s">
        <v>10</v>
      </c>
      <c r="B33" s="175">
        <f>SUM(B7,B9,B11,B13,B19,B20,B25,B26,B29,B30,B18)</f>
        <v>2098600</v>
      </c>
      <c r="C33" s="175">
        <f>SUM(C7,C9,C11,C13,C19,C20,C25,C26,C29,C30,C18)</f>
        <v>1538429.5399999998</v>
      </c>
      <c r="D33" s="141">
        <f t="shared" si="0"/>
        <v>73.30742113790146</v>
      </c>
      <c r="E33" s="142">
        <f t="shared" si="1"/>
        <v>-560170.4600000002</v>
      </c>
    </row>
    <row r="34" spans="1:5" ht="18.75" customHeight="1">
      <c r="A34" s="181" t="s">
        <v>140</v>
      </c>
      <c r="B34" s="189">
        <f>SUM(B35:B38,B42:B43,B47,B48,B49,B41)</f>
        <v>9504578.75</v>
      </c>
      <c r="C34" s="189">
        <f>SUM(C35:C38,C43:C43,C47,C48,C49,C41)</f>
        <v>4805446.63</v>
      </c>
      <c r="D34" s="141">
        <f t="shared" si="0"/>
        <v>50.5592804941513</v>
      </c>
      <c r="E34" s="142">
        <f t="shared" si="1"/>
        <v>-4699132.12</v>
      </c>
    </row>
    <row r="35" spans="1:5" ht="16.5" customHeight="1">
      <c r="A35" s="17" t="s">
        <v>34</v>
      </c>
      <c r="B35" s="160">
        <v>3239600</v>
      </c>
      <c r="C35" s="243">
        <v>2695300</v>
      </c>
      <c r="D35" s="26">
        <f t="shared" si="0"/>
        <v>83.1985430300037</v>
      </c>
      <c r="E35" s="42">
        <f t="shared" si="1"/>
        <v>-544300</v>
      </c>
    </row>
    <row r="36" spans="1:5" ht="16.5" customHeight="1">
      <c r="A36" s="17" t="s">
        <v>229</v>
      </c>
      <c r="B36" s="160">
        <v>0</v>
      </c>
      <c r="C36" s="243">
        <v>0</v>
      </c>
      <c r="D36" s="26" t="str">
        <f>IF(B36=0,"   ",C36/B36*100)</f>
        <v>   </v>
      </c>
      <c r="E36" s="42">
        <f>C36-B36</f>
        <v>0</v>
      </c>
    </row>
    <row r="37" spans="1:5" ht="24.75" customHeight="1">
      <c r="A37" s="134" t="s">
        <v>51</v>
      </c>
      <c r="B37" s="135">
        <v>180700</v>
      </c>
      <c r="C37" s="243">
        <v>147330</v>
      </c>
      <c r="D37" s="136">
        <f t="shared" si="0"/>
        <v>81.53292750415052</v>
      </c>
      <c r="E37" s="137">
        <f t="shared" si="1"/>
        <v>-33370</v>
      </c>
    </row>
    <row r="38" spans="1:5" ht="24.75" customHeight="1">
      <c r="A38" s="109" t="s">
        <v>148</v>
      </c>
      <c r="B38" s="135">
        <f>SUM(B39:B40)</f>
        <v>19800</v>
      </c>
      <c r="C38" s="135">
        <f>SUM(C39:C40)</f>
        <v>100</v>
      </c>
      <c r="D38" s="136">
        <f t="shared" si="0"/>
        <v>0.5050505050505051</v>
      </c>
      <c r="E38" s="137">
        <f t="shared" si="1"/>
        <v>-19700</v>
      </c>
    </row>
    <row r="39" spans="1:5" ht="12.75" customHeight="1">
      <c r="A39" s="109" t="s">
        <v>163</v>
      </c>
      <c r="B39" s="135">
        <v>100</v>
      </c>
      <c r="C39" s="135">
        <v>100</v>
      </c>
      <c r="D39" s="136">
        <f>IF(B39=0,"   ",C39/B39*100)</f>
        <v>100</v>
      </c>
      <c r="E39" s="137">
        <f>C39-B39</f>
        <v>0</v>
      </c>
    </row>
    <row r="40" spans="1:5" ht="24.75" customHeight="1">
      <c r="A40" s="109" t="s">
        <v>164</v>
      </c>
      <c r="B40" s="135">
        <v>19700</v>
      </c>
      <c r="C40" s="135">
        <v>0</v>
      </c>
      <c r="D40" s="136">
        <f>IF(B40=0,"   ",C40/B40*100)</f>
        <v>0</v>
      </c>
      <c r="E40" s="137">
        <f>C40-B40</f>
        <v>-19700</v>
      </c>
    </row>
    <row r="41" spans="1:5" ht="54" customHeight="1">
      <c r="A41" s="16" t="s">
        <v>238</v>
      </c>
      <c r="B41" s="135">
        <v>706300</v>
      </c>
      <c r="C41" s="135">
        <v>706300</v>
      </c>
      <c r="D41" s="136">
        <f>IF(B41=0,"   ",C41/B41*100)</f>
        <v>100</v>
      </c>
      <c r="E41" s="137">
        <f>C41-B41</f>
        <v>0</v>
      </c>
    </row>
    <row r="42" spans="1:5" ht="31.5" customHeight="1">
      <c r="A42" s="16" t="s">
        <v>279</v>
      </c>
      <c r="B42" s="135">
        <v>0</v>
      </c>
      <c r="C42" s="135">
        <v>0</v>
      </c>
      <c r="D42" s="136" t="str">
        <f>IF(B42=0,"   ",C42/B42*100)</f>
        <v>   </v>
      </c>
      <c r="E42" s="137">
        <f>C42-B42</f>
        <v>0</v>
      </c>
    </row>
    <row r="43" spans="1:5" ht="18" customHeight="1">
      <c r="A43" s="16" t="s">
        <v>55</v>
      </c>
      <c r="B43" s="166">
        <f>B46+B44+B45</f>
        <v>4224430</v>
      </c>
      <c r="C43" s="166">
        <f>C46+C44</f>
        <v>651629.19</v>
      </c>
      <c r="D43" s="26">
        <f t="shared" si="0"/>
        <v>15.425257135282155</v>
      </c>
      <c r="E43" s="42">
        <f t="shared" si="1"/>
        <v>-3572800.81</v>
      </c>
    </row>
    <row r="44" spans="1:5" ht="24.75" customHeight="1">
      <c r="A44" s="46" t="s">
        <v>188</v>
      </c>
      <c r="B44" s="166">
        <v>395200</v>
      </c>
      <c r="C44" s="166">
        <v>238283.19</v>
      </c>
      <c r="D44" s="26">
        <f t="shared" si="0"/>
        <v>60.2943294534413</v>
      </c>
      <c r="E44" s="42">
        <f t="shared" si="1"/>
        <v>-156916.81</v>
      </c>
    </row>
    <row r="45" spans="1:5" ht="24.75" customHeight="1">
      <c r="A45" s="46" t="s">
        <v>296</v>
      </c>
      <c r="B45" s="166">
        <v>3273130</v>
      </c>
      <c r="C45" s="166">
        <v>0</v>
      </c>
      <c r="D45" s="26">
        <f t="shared" si="0"/>
        <v>0</v>
      </c>
      <c r="E45" s="42">
        <f t="shared" si="1"/>
        <v>-3273130</v>
      </c>
    </row>
    <row r="46" spans="1:5" s="7" customFormat="1" ht="15.75" customHeight="1">
      <c r="A46" s="16" t="s">
        <v>109</v>
      </c>
      <c r="B46" s="166">
        <v>556100</v>
      </c>
      <c r="C46" s="166">
        <v>413346</v>
      </c>
      <c r="D46" s="47">
        <f t="shared" si="0"/>
        <v>74.32943715159143</v>
      </c>
      <c r="E46" s="40">
        <f t="shared" si="1"/>
        <v>-142754</v>
      </c>
    </row>
    <row r="47" spans="1:5" ht="39" customHeight="1">
      <c r="A47" s="16" t="s">
        <v>305</v>
      </c>
      <c r="B47" s="166">
        <v>256961.16</v>
      </c>
      <c r="C47" s="166">
        <v>256961.16</v>
      </c>
      <c r="D47" s="26">
        <f t="shared" si="0"/>
        <v>100</v>
      </c>
      <c r="E47" s="42">
        <f t="shared" si="1"/>
        <v>0</v>
      </c>
    </row>
    <row r="48" spans="1:5" ht="24" customHeight="1">
      <c r="A48" s="143" t="s">
        <v>298</v>
      </c>
      <c r="B48" s="166">
        <v>700000</v>
      </c>
      <c r="C48" s="166">
        <v>200000</v>
      </c>
      <c r="D48" s="26">
        <f t="shared" si="0"/>
        <v>28.57142857142857</v>
      </c>
      <c r="E48" s="42">
        <f t="shared" si="1"/>
        <v>-500000</v>
      </c>
    </row>
    <row r="49" spans="1:5" ht="24.75" customHeight="1">
      <c r="A49" s="16" t="s">
        <v>199</v>
      </c>
      <c r="B49" s="166">
        <v>176787.59</v>
      </c>
      <c r="C49" s="166">
        <v>147826.28</v>
      </c>
      <c r="D49" s="26">
        <f t="shared" si="0"/>
        <v>83.61801866296157</v>
      </c>
      <c r="E49" s="42">
        <f t="shared" si="1"/>
        <v>-28961.309999999998</v>
      </c>
    </row>
    <row r="50" spans="1:5" ht="33" customHeight="1">
      <c r="A50" s="173" t="s">
        <v>11</v>
      </c>
      <c r="B50" s="150">
        <f>SUM(B33,B34,)</f>
        <v>11603178.75</v>
      </c>
      <c r="C50" s="150">
        <f>SUM(C33,C34,)</f>
        <v>6343876.17</v>
      </c>
      <c r="D50" s="141">
        <f t="shared" si="0"/>
        <v>54.67360545488451</v>
      </c>
      <c r="E50" s="142">
        <f t="shared" si="1"/>
        <v>-5259302.58</v>
      </c>
    </row>
    <row r="51" spans="1:5" ht="12.75" customHeight="1">
      <c r="A51" s="22" t="s">
        <v>12</v>
      </c>
      <c r="B51" s="44"/>
      <c r="C51" s="45"/>
      <c r="D51" s="26" t="str">
        <f t="shared" si="0"/>
        <v>   </v>
      </c>
      <c r="E51" s="42"/>
    </row>
    <row r="52" spans="1:5" ht="24" customHeight="1">
      <c r="A52" s="16" t="s">
        <v>35</v>
      </c>
      <c r="B52" s="25">
        <f>SUM(B53,B56,B57)</f>
        <v>1213986</v>
      </c>
      <c r="C52" s="25">
        <f>SUM(C53,C56,C57)</f>
        <v>959996.2</v>
      </c>
      <c r="D52" s="26">
        <f t="shared" si="0"/>
        <v>79.0780289064289</v>
      </c>
      <c r="E52" s="42">
        <f t="shared" si="1"/>
        <v>-253989.80000000005</v>
      </c>
    </row>
    <row r="53" spans="1:5" ht="12.75" customHeight="1">
      <c r="A53" s="16" t="s">
        <v>36</v>
      </c>
      <c r="B53" s="25">
        <v>1212800</v>
      </c>
      <c r="C53" s="25">
        <v>959996.2</v>
      </c>
      <c r="D53" s="26">
        <f t="shared" si="0"/>
        <v>79.15535949868074</v>
      </c>
      <c r="E53" s="42">
        <f t="shared" si="1"/>
        <v>-252803.80000000005</v>
      </c>
    </row>
    <row r="54" spans="1:5" ht="12.75">
      <c r="A54" s="85" t="s">
        <v>121</v>
      </c>
      <c r="B54" s="25">
        <v>753840</v>
      </c>
      <c r="C54" s="28">
        <v>649254.78</v>
      </c>
      <c r="D54" s="26">
        <f t="shared" si="0"/>
        <v>86.1263371537727</v>
      </c>
      <c r="E54" s="42">
        <f t="shared" si="1"/>
        <v>-104585.21999999997</v>
      </c>
    </row>
    <row r="55" spans="1:5" ht="12.75">
      <c r="A55" s="85" t="s">
        <v>288</v>
      </c>
      <c r="B55" s="25">
        <v>100</v>
      </c>
      <c r="C55" s="28">
        <v>0</v>
      </c>
      <c r="D55" s="26">
        <f>IF(B55=0,"   ",C55/B55*100)</f>
        <v>0</v>
      </c>
      <c r="E55" s="42">
        <f>C55-B55</f>
        <v>-100</v>
      </c>
    </row>
    <row r="56" spans="1:5" ht="12.75">
      <c r="A56" s="16" t="s">
        <v>95</v>
      </c>
      <c r="B56" s="25">
        <v>500</v>
      </c>
      <c r="C56" s="27">
        <v>0</v>
      </c>
      <c r="D56" s="26">
        <f t="shared" si="0"/>
        <v>0</v>
      </c>
      <c r="E56" s="42">
        <f t="shared" si="1"/>
        <v>-500</v>
      </c>
    </row>
    <row r="57" spans="1:5" ht="12.75">
      <c r="A57" s="16" t="s">
        <v>52</v>
      </c>
      <c r="B57" s="27">
        <f>SUM(B58:B59)</f>
        <v>686</v>
      </c>
      <c r="C57" s="27">
        <f>SUM(C58:C59)</f>
        <v>0</v>
      </c>
      <c r="D57" s="26">
        <f t="shared" si="0"/>
        <v>0</v>
      </c>
      <c r="E57" s="42">
        <f t="shared" si="1"/>
        <v>-686</v>
      </c>
    </row>
    <row r="58" spans="1:5" ht="12.75">
      <c r="A58" s="105" t="s">
        <v>172</v>
      </c>
      <c r="B58" s="27">
        <v>0</v>
      </c>
      <c r="C58" s="27">
        <v>0</v>
      </c>
      <c r="D58" s="26" t="str">
        <f>IF(B58=0,"   ",C58/B58*100)</f>
        <v>   </v>
      </c>
      <c r="E58" s="42">
        <f>C58-B58</f>
        <v>0</v>
      </c>
    </row>
    <row r="59" spans="1:5" ht="39.75" customHeight="1">
      <c r="A59" s="105" t="s">
        <v>244</v>
      </c>
      <c r="B59" s="25">
        <v>686</v>
      </c>
      <c r="C59" s="27">
        <v>0</v>
      </c>
      <c r="D59" s="26">
        <f t="shared" si="0"/>
        <v>0</v>
      </c>
      <c r="E59" s="42">
        <f t="shared" si="1"/>
        <v>-686</v>
      </c>
    </row>
    <row r="60" spans="1:5" ht="22.5" customHeight="1">
      <c r="A60" s="16" t="s">
        <v>49</v>
      </c>
      <c r="B60" s="27">
        <f>SUM(B61)</f>
        <v>180700</v>
      </c>
      <c r="C60" s="27">
        <f>SUM(C61)</f>
        <v>119337.52</v>
      </c>
      <c r="D60" s="26">
        <f t="shared" si="0"/>
        <v>66.04179302711677</v>
      </c>
      <c r="E60" s="42">
        <f t="shared" si="1"/>
        <v>-61362.479999999996</v>
      </c>
    </row>
    <row r="61" spans="1:5" ht="12" customHeight="1">
      <c r="A61" s="16" t="s">
        <v>107</v>
      </c>
      <c r="B61" s="25">
        <v>180700</v>
      </c>
      <c r="C61" s="27">
        <v>119337.52</v>
      </c>
      <c r="D61" s="26">
        <f t="shared" si="0"/>
        <v>66.04179302711677</v>
      </c>
      <c r="E61" s="42">
        <f t="shared" si="1"/>
        <v>-61362.479999999996</v>
      </c>
    </row>
    <row r="62" spans="1:5" ht="16.5" customHeight="1">
      <c r="A62" s="16" t="s">
        <v>37</v>
      </c>
      <c r="B62" s="25">
        <f>SUM(B63)</f>
        <v>5000</v>
      </c>
      <c r="C62" s="27">
        <f>SUM(C63)</f>
        <v>5000</v>
      </c>
      <c r="D62" s="26">
        <f t="shared" si="0"/>
        <v>100</v>
      </c>
      <c r="E62" s="42">
        <f t="shared" si="1"/>
        <v>0</v>
      </c>
    </row>
    <row r="63" spans="1:5" ht="16.5" customHeight="1">
      <c r="A63" s="41" t="s">
        <v>128</v>
      </c>
      <c r="B63" s="25">
        <v>5000</v>
      </c>
      <c r="C63" s="27">
        <v>5000</v>
      </c>
      <c r="D63" s="26">
        <f t="shared" si="0"/>
        <v>100</v>
      </c>
      <c r="E63" s="42">
        <f t="shared" si="1"/>
        <v>0</v>
      </c>
    </row>
    <row r="64" spans="1:5" ht="21.75" customHeight="1">
      <c r="A64" s="16" t="s">
        <v>38</v>
      </c>
      <c r="B64" s="27">
        <f>B68+B65+B76</f>
        <v>2256372.2199999997</v>
      </c>
      <c r="C64" s="27">
        <f>C68+C65+C76</f>
        <v>1880107.9</v>
      </c>
      <c r="D64" s="26">
        <f t="shared" si="0"/>
        <v>83.3243683526648</v>
      </c>
      <c r="E64" s="42">
        <f t="shared" si="1"/>
        <v>-376264.31999999983</v>
      </c>
    </row>
    <row r="65" spans="1:5" ht="21.75" customHeight="1">
      <c r="A65" s="75" t="s">
        <v>165</v>
      </c>
      <c r="B65" s="25">
        <f>SUM(B66+B67)</f>
        <v>19700</v>
      </c>
      <c r="C65" s="25">
        <f>SUM(C66+C67)</f>
        <v>0</v>
      </c>
      <c r="D65" s="26">
        <f>IF(B65=0,"   ",C65/B65*100)</f>
        <v>0</v>
      </c>
      <c r="E65" s="42">
        <f>C65-B65</f>
        <v>-19700</v>
      </c>
    </row>
    <row r="66" spans="1:5" ht="21.75" customHeight="1">
      <c r="A66" s="75" t="s">
        <v>166</v>
      </c>
      <c r="B66" s="25">
        <v>19700</v>
      </c>
      <c r="C66" s="126">
        <v>0</v>
      </c>
      <c r="D66" s="26">
        <f>IF(B66=0,"   ",C66/B66*100)</f>
        <v>0</v>
      </c>
      <c r="E66" s="42">
        <f>C66-B66</f>
        <v>-19700</v>
      </c>
    </row>
    <row r="67" spans="1:5" ht="21.75" customHeight="1">
      <c r="A67" s="75" t="s">
        <v>169</v>
      </c>
      <c r="B67" s="118">
        <v>0</v>
      </c>
      <c r="C67" s="126">
        <v>0</v>
      </c>
      <c r="D67" s="26"/>
      <c r="E67" s="42"/>
    </row>
    <row r="68" spans="1:5" ht="12" customHeight="1">
      <c r="A68" s="96" t="s">
        <v>131</v>
      </c>
      <c r="B68" s="118">
        <f>SUM(B69:B75)</f>
        <v>2236672.2199999997</v>
      </c>
      <c r="C68" s="118">
        <f>SUM(C69:C75)</f>
        <v>1880107.9</v>
      </c>
      <c r="D68" s="26">
        <f t="shared" si="0"/>
        <v>84.05826670481025</v>
      </c>
      <c r="E68" s="42">
        <f t="shared" si="1"/>
        <v>-356564.31999999983</v>
      </c>
    </row>
    <row r="69" spans="1:5" ht="27" customHeight="1">
      <c r="A69" s="75" t="s">
        <v>149</v>
      </c>
      <c r="B69" s="25">
        <v>30000</v>
      </c>
      <c r="C69" s="27">
        <v>0</v>
      </c>
      <c r="D69" s="26">
        <f t="shared" si="0"/>
        <v>0</v>
      </c>
      <c r="E69" s="42">
        <f t="shared" si="1"/>
        <v>-30000</v>
      </c>
    </row>
    <row r="70" spans="1:5" ht="30.75" customHeight="1">
      <c r="A70" s="71" t="s">
        <v>257</v>
      </c>
      <c r="B70" s="25">
        <v>753972.22</v>
      </c>
      <c r="C70" s="27">
        <v>619270.33</v>
      </c>
      <c r="D70" s="26">
        <f t="shared" si="0"/>
        <v>82.13436961908225</v>
      </c>
      <c r="E70" s="42">
        <f t="shared" si="1"/>
        <v>-134701.89</v>
      </c>
    </row>
    <row r="71" spans="1:5" ht="29.25" customHeight="1">
      <c r="A71" s="71" t="s">
        <v>258</v>
      </c>
      <c r="B71" s="25">
        <v>50000</v>
      </c>
      <c r="C71" s="27">
        <v>16764.57</v>
      </c>
      <c r="D71" s="26">
        <f t="shared" si="0"/>
        <v>33.52914</v>
      </c>
      <c r="E71" s="42">
        <f t="shared" si="1"/>
        <v>-33235.43</v>
      </c>
    </row>
    <row r="72" spans="1:5" ht="27" customHeight="1">
      <c r="A72" s="71" t="s">
        <v>259</v>
      </c>
      <c r="B72" s="25">
        <v>706300</v>
      </c>
      <c r="C72" s="27">
        <v>706300</v>
      </c>
      <c r="D72" s="26">
        <f t="shared" si="0"/>
        <v>100</v>
      </c>
      <c r="E72" s="42">
        <f t="shared" si="1"/>
        <v>0</v>
      </c>
    </row>
    <row r="73" spans="1:5" ht="27" customHeight="1">
      <c r="A73" s="71" t="s">
        <v>260</v>
      </c>
      <c r="B73" s="114">
        <v>78500</v>
      </c>
      <c r="C73" s="27">
        <v>78500</v>
      </c>
      <c r="D73" s="26">
        <f t="shared" si="0"/>
        <v>100</v>
      </c>
      <c r="E73" s="42">
        <f t="shared" si="1"/>
        <v>0</v>
      </c>
    </row>
    <row r="74" spans="1:5" ht="27" customHeight="1">
      <c r="A74" s="71" t="s">
        <v>261</v>
      </c>
      <c r="B74" s="114">
        <v>556100</v>
      </c>
      <c r="C74" s="27">
        <v>413346</v>
      </c>
      <c r="D74" s="26">
        <f t="shared" si="0"/>
        <v>74.32943715159143</v>
      </c>
      <c r="E74" s="42">
        <f t="shared" si="1"/>
        <v>-142754</v>
      </c>
    </row>
    <row r="75" spans="1:5" ht="27" customHeight="1">
      <c r="A75" s="71" t="s">
        <v>262</v>
      </c>
      <c r="B75" s="114">
        <v>61800</v>
      </c>
      <c r="C75" s="27">
        <v>45927</v>
      </c>
      <c r="D75" s="26">
        <f t="shared" si="0"/>
        <v>74.31553398058253</v>
      </c>
      <c r="E75" s="42">
        <f t="shared" si="1"/>
        <v>-15873</v>
      </c>
    </row>
    <row r="76" spans="1:5" ht="17.25" customHeight="1">
      <c r="A76" s="96" t="s">
        <v>177</v>
      </c>
      <c r="B76" s="114">
        <f>SUM(B77:B78)</f>
        <v>0</v>
      </c>
      <c r="C76" s="114">
        <f>SUM(C77:C78)</f>
        <v>0</v>
      </c>
      <c r="D76" s="26" t="str">
        <f>IF(B76=0,"   ",C76/B76*100)</f>
        <v>   </v>
      </c>
      <c r="E76" s="42">
        <f>C76-B76</f>
        <v>0</v>
      </c>
    </row>
    <row r="77" spans="1:5" ht="33" customHeight="1">
      <c r="A77" s="105" t="s">
        <v>155</v>
      </c>
      <c r="B77" s="114">
        <v>0</v>
      </c>
      <c r="C77" s="27">
        <v>0</v>
      </c>
      <c r="D77" s="26" t="str">
        <f>IF(B77=0,"   ",C77/B77*100)</f>
        <v>   </v>
      </c>
      <c r="E77" s="42">
        <f>C77-B77</f>
        <v>0</v>
      </c>
    </row>
    <row r="78" spans="1:5" ht="27" customHeight="1">
      <c r="A78" s="75" t="s">
        <v>178</v>
      </c>
      <c r="B78" s="114">
        <v>0</v>
      </c>
      <c r="C78" s="27">
        <v>0</v>
      </c>
      <c r="D78" s="26" t="str">
        <f>IF(B78=0,"   ",C78/B78*100)</f>
        <v>   </v>
      </c>
      <c r="E78" s="42">
        <f>C78-B78</f>
        <v>0</v>
      </c>
    </row>
    <row r="79" spans="1:5" ht="20.25" customHeight="1">
      <c r="A79" s="16" t="s">
        <v>13</v>
      </c>
      <c r="B79" s="25">
        <f>SUM(B80,B82,B89,)</f>
        <v>5819896.48</v>
      </c>
      <c r="C79" s="25">
        <f>SUM(C80,C82,C89,)</f>
        <v>1445335.3</v>
      </c>
      <c r="D79" s="26">
        <f t="shared" si="0"/>
        <v>24.834381590237495</v>
      </c>
      <c r="E79" s="42">
        <f t="shared" si="1"/>
        <v>-4374561.180000001</v>
      </c>
    </row>
    <row r="80" spans="1:5" ht="12.75">
      <c r="A80" s="16" t="s">
        <v>14</v>
      </c>
      <c r="B80" s="25">
        <f>SUM(B81:B81)</f>
        <v>0</v>
      </c>
      <c r="C80" s="25">
        <f>SUM(C81:C81)</f>
        <v>0</v>
      </c>
      <c r="D80" s="26" t="str">
        <f t="shared" si="0"/>
        <v>   </v>
      </c>
      <c r="E80" s="42">
        <f t="shared" si="1"/>
        <v>0</v>
      </c>
    </row>
    <row r="81" spans="1:5" ht="15.75" customHeight="1">
      <c r="A81" s="16" t="s">
        <v>98</v>
      </c>
      <c r="B81" s="25">
        <v>0</v>
      </c>
      <c r="C81" s="27">
        <v>0</v>
      </c>
      <c r="D81" s="26" t="str">
        <f t="shared" si="0"/>
        <v>   </v>
      </c>
      <c r="E81" s="42">
        <f t="shared" si="1"/>
        <v>0</v>
      </c>
    </row>
    <row r="82" spans="1:5" ht="12.75">
      <c r="A82" s="16" t="s">
        <v>90</v>
      </c>
      <c r="B82" s="25">
        <f>SUM(B83:B85)</f>
        <v>3999767.2</v>
      </c>
      <c r="C82" s="25">
        <f>SUM(C83:C85)</f>
        <v>397138.64999999997</v>
      </c>
      <c r="D82" s="26">
        <f t="shared" si="0"/>
        <v>9.929044120367804</v>
      </c>
      <c r="E82" s="42">
        <f t="shared" si="1"/>
        <v>-3602628.5500000003</v>
      </c>
    </row>
    <row r="83" spans="1:5" ht="12.75">
      <c r="A83" s="16" t="s">
        <v>301</v>
      </c>
      <c r="B83" s="25">
        <v>3273130</v>
      </c>
      <c r="C83" s="25">
        <v>0</v>
      </c>
      <c r="D83" s="26">
        <f>IF(B83=0,"   ",C83/B83*100)</f>
        <v>0</v>
      </c>
      <c r="E83" s="42">
        <f>C83-B83</f>
        <v>-3273130</v>
      </c>
    </row>
    <row r="84" spans="1:5" ht="12.75">
      <c r="A84" s="16" t="s">
        <v>327</v>
      </c>
      <c r="B84" s="25">
        <v>214200</v>
      </c>
      <c r="C84" s="25">
        <v>0</v>
      </c>
      <c r="D84" s="26">
        <f>IF(B84=0,"   ",C84/B84*100)</f>
        <v>0</v>
      </c>
      <c r="E84" s="42">
        <f>C84-B84</f>
        <v>-214200</v>
      </c>
    </row>
    <row r="85" spans="1:5" ht="26.25">
      <c r="A85" s="105" t="s">
        <v>206</v>
      </c>
      <c r="B85" s="25">
        <f>SUM(B86:B88)</f>
        <v>512437.2</v>
      </c>
      <c r="C85" s="25">
        <f>SUM(C86:C88)</f>
        <v>397138.64999999997</v>
      </c>
      <c r="D85" s="26">
        <f>IF(B85=0,"   ",C85/B85*100)</f>
        <v>77.49996487374452</v>
      </c>
      <c r="E85" s="42">
        <f>C85-B85</f>
        <v>-115298.55000000005</v>
      </c>
    </row>
    <row r="86" spans="1:5" ht="26.25">
      <c r="A86" s="105" t="s">
        <v>213</v>
      </c>
      <c r="B86" s="25">
        <v>307462.32</v>
      </c>
      <c r="C86" s="25">
        <v>238283.19</v>
      </c>
      <c r="D86" s="26">
        <f>IF(B86=0,"   ",C86/B86*100)</f>
        <v>77.49996487374453</v>
      </c>
      <c r="E86" s="42">
        <f>C86-B86</f>
        <v>-69179.13</v>
      </c>
    </row>
    <row r="87" spans="1:5" ht="26.25">
      <c r="A87" s="105" t="s">
        <v>214</v>
      </c>
      <c r="B87" s="25">
        <v>102487.44</v>
      </c>
      <c r="C87" s="25">
        <v>79427.73</v>
      </c>
      <c r="D87" s="26">
        <f>IF(B87=0,"   ",C87/B87*100)</f>
        <v>77.49996487374452</v>
      </c>
      <c r="E87" s="42">
        <f>C87-B87</f>
        <v>-23059.710000000006</v>
      </c>
    </row>
    <row r="88" spans="1:5" ht="26.25">
      <c r="A88" s="105" t="s">
        <v>215</v>
      </c>
      <c r="B88" s="25">
        <v>102487.44</v>
      </c>
      <c r="C88" s="27">
        <v>79427.73</v>
      </c>
      <c r="D88" s="26">
        <f t="shared" si="0"/>
        <v>77.49996487374452</v>
      </c>
      <c r="E88" s="42">
        <f t="shared" si="1"/>
        <v>-23059.710000000006</v>
      </c>
    </row>
    <row r="89" spans="1:5" ht="12.75">
      <c r="A89" s="16" t="s">
        <v>69</v>
      </c>
      <c r="B89" s="25">
        <f>B90+B91+B93+B97+B92</f>
        <v>1820129.28</v>
      </c>
      <c r="C89" s="25">
        <f>C90+C91+C93+C97+C92</f>
        <v>1048196.65</v>
      </c>
      <c r="D89" s="26">
        <f t="shared" si="0"/>
        <v>57.58913180057188</v>
      </c>
      <c r="E89" s="42">
        <f t="shared" si="1"/>
        <v>-771932.63</v>
      </c>
    </row>
    <row r="90" spans="1:5" ht="12.75">
      <c r="A90" s="16" t="s">
        <v>56</v>
      </c>
      <c r="B90" s="25">
        <v>671700</v>
      </c>
      <c r="C90" s="27">
        <v>545896.65</v>
      </c>
      <c r="D90" s="26">
        <f t="shared" si="0"/>
        <v>81.270902188477</v>
      </c>
      <c r="E90" s="42">
        <f t="shared" si="1"/>
        <v>-125803.34999999998</v>
      </c>
    </row>
    <row r="91" spans="1:5" ht="12.75">
      <c r="A91" s="16" t="s">
        <v>57</v>
      </c>
      <c r="B91" s="25">
        <v>0</v>
      </c>
      <c r="C91" s="27">
        <v>0</v>
      </c>
      <c r="D91" s="26" t="str">
        <f t="shared" si="0"/>
        <v>   </v>
      </c>
      <c r="E91" s="42">
        <f t="shared" si="1"/>
        <v>0</v>
      </c>
    </row>
    <row r="92" spans="1:5" ht="26.25">
      <c r="A92" s="105" t="s">
        <v>302</v>
      </c>
      <c r="B92" s="25">
        <v>700000</v>
      </c>
      <c r="C92" s="27">
        <v>200000</v>
      </c>
      <c r="D92" s="26">
        <f t="shared" si="0"/>
        <v>28.57142857142857</v>
      </c>
      <c r="E92" s="42">
        <f t="shared" si="1"/>
        <v>-500000</v>
      </c>
    </row>
    <row r="93" spans="1:5" ht="26.25">
      <c r="A93" s="105" t="s">
        <v>206</v>
      </c>
      <c r="B93" s="25">
        <f>SUM(B94:B96)</f>
        <v>146129.28</v>
      </c>
      <c r="C93" s="25">
        <f>SUM(C94:C96)</f>
        <v>0</v>
      </c>
      <c r="D93" s="26">
        <f aca="true" t="shared" si="2" ref="D93:D101">IF(B93=0,"   ",C93/B93*100)</f>
        <v>0</v>
      </c>
      <c r="E93" s="42">
        <f aca="true" t="shared" si="3" ref="E93:E101">C93-B93</f>
        <v>-146129.28</v>
      </c>
    </row>
    <row r="94" spans="1:5" ht="26.25">
      <c r="A94" s="105" t="s">
        <v>213</v>
      </c>
      <c r="B94" s="25">
        <v>87677.28</v>
      </c>
      <c r="C94" s="27">
        <v>0</v>
      </c>
      <c r="D94" s="26">
        <f t="shared" si="2"/>
        <v>0</v>
      </c>
      <c r="E94" s="42">
        <f t="shared" si="3"/>
        <v>-87677.28</v>
      </c>
    </row>
    <row r="95" spans="1:5" ht="26.25">
      <c r="A95" s="105" t="s">
        <v>214</v>
      </c>
      <c r="B95" s="25">
        <v>29226</v>
      </c>
      <c r="C95" s="27">
        <v>0</v>
      </c>
      <c r="D95" s="26">
        <f t="shared" si="2"/>
        <v>0</v>
      </c>
      <c r="E95" s="42">
        <f t="shared" si="3"/>
        <v>-29226</v>
      </c>
    </row>
    <row r="96" spans="1:5" ht="26.25">
      <c r="A96" s="105" t="s">
        <v>215</v>
      </c>
      <c r="B96" s="25">
        <v>29226</v>
      </c>
      <c r="C96" s="27">
        <v>0</v>
      </c>
      <c r="D96" s="26">
        <f t="shared" si="2"/>
        <v>0</v>
      </c>
      <c r="E96" s="42">
        <f t="shared" si="3"/>
        <v>-29226</v>
      </c>
    </row>
    <row r="97" spans="1:5" ht="15">
      <c r="A97" s="292" t="s">
        <v>274</v>
      </c>
      <c r="B97" s="25">
        <f>SUM(B98:B101)</f>
        <v>302300</v>
      </c>
      <c r="C97" s="25">
        <f>SUM(C98:C101)</f>
        <v>302300</v>
      </c>
      <c r="D97" s="26">
        <f t="shared" si="2"/>
        <v>100</v>
      </c>
      <c r="E97" s="42">
        <f t="shared" si="3"/>
        <v>0</v>
      </c>
    </row>
    <row r="98" spans="1:5" ht="15">
      <c r="A98" s="292" t="s">
        <v>275</v>
      </c>
      <c r="B98" s="25">
        <v>209498.2</v>
      </c>
      <c r="C98" s="25">
        <v>209498.2</v>
      </c>
      <c r="D98" s="26">
        <f t="shared" si="2"/>
        <v>100</v>
      </c>
      <c r="E98" s="42">
        <f t="shared" si="3"/>
        <v>0</v>
      </c>
    </row>
    <row r="99" spans="1:5" ht="15">
      <c r="A99" s="292" t="s">
        <v>276</v>
      </c>
      <c r="B99" s="25">
        <v>2116.14</v>
      </c>
      <c r="C99" s="27">
        <v>2116.14</v>
      </c>
      <c r="D99" s="26">
        <f t="shared" si="2"/>
        <v>100</v>
      </c>
      <c r="E99" s="42">
        <f t="shared" si="3"/>
        <v>0</v>
      </c>
    </row>
    <row r="100" spans="1:5" ht="15">
      <c r="A100" s="292" t="s">
        <v>277</v>
      </c>
      <c r="B100" s="25">
        <v>45346.82</v>
      </c>
      <c r="C100" s="27">
        <v>45346.82</v>
      </c>
      <c r="D100" s="26">
        <f t="shared" si="2"/>
        <v>100</v>
      </c>
      <c r="E100" s="42">
        <f t="shared" si="3"/>
        <v>0</v>
      </c>
    </row>
    <row r="101" spans="1:5" ht="15">
      <c r="A101" s="292" t="s">
        <v>278</v>
      </c>
      <c r="B101" s="25">
        <v>45338.84</v>
      </c>
      <c r="C101" s="27">
        <v>45338.84</v>
      </c>
      <c r="D101" s="26">
        <f t="shared" si="2"/>
        <v>100</v>
      </c>
      <c r="E101" s="42">
        <f t="shared" si="3"/>
        <v>0</v>
      </c>
    </row>
    <row r="102" spans="1:5" ht="20.25" customHeight="1">
      <c r="A102" s="18" t="s">
        <v>17</v>
      </c>
      <c r="B102" s="31">
        <v>16000</v>
      </c>
      <c r="C102" s="31">
        <v>0</v>
      </c>
      <c r="D102" s="26">
        <f t="shared" si="0"/>
        <v>0</v>
      </c>
      <c r="E102" s="42">
        <f t="shared" si="1"/>
        <v>-16000</v>
      </c>
    </row>
    <row r="103" spans="1:5" ht="21.75" customHeight="1">
      <c r="A103" s="16" t="s">
        <v>41</v>
      </c>
      <c r="B103" s="24">
        <f>SUM(B104,)</f>
        <v>2489545</v>
      </c>
      <c r="C103" s="24">
        <f>SUM(C104,)</f>
        <v>1788826.56</v>
      </c>
      <c r="D103" s="26">
        <f t="shared" si="0"/>
        <v>71.8535539626719</v>
      </c>
      <c r="E103" s="42">
        <f t="shared" si="1"/>
        <v>-700718.44</v>
      </c>
    </row>
    <row r="104" spans="1:5" ht="14.25" customHeight="1">
      <c r="A104" s="16" t="s">
        <v>42</v>
      </c>
      <c r="B104" s="25">
        <v>2489545</v>
      </c>
      <c r="C104" s="27">
        <v>1788826.56</v>
      </c>
      <c r="D104" s="26">
        <f t="shared" si="0"/>
        <v>71.8535539626719</v>
      </c>
      <c r="E104" s="42">
        <f t="shared" si="1"/>
        <v>-700718.44</v>
      </c>
    </row>
    <row r="105" spans="1:5" ht="18.75" customHeight="1">
      <c r="A105" s="16" t="s">
        <v>124</v>
      </c>
      <c r="B105" s="25">
        <f>SUM(B106,)</f>
        <v>0</v>
      </c>
      <c r="C105" s="25">
        <f>C106</f>
        <v>0</v>
      </c>
      <c r="D105" s="26" t="str">
        <f t="shared" si="0"/>
        <v>   </v>
      </c>
      <c r="E105" s="42">
        <f t="shared" si="1"/>
        <v>0</v>
      </c>
    </row>
    <row r="106" spans="1:5" ht="12.75" customHeight="1">
      <c r="A106" s="16" t="s">
        <v>43</v>
      </c>
      <c r="B106" s="25">
        <v>0</v>
      </c>
      <c r="C106" s="28">
        <v>0</v>
      </c>
      <c r="D106" s="26" t="str">
        <f t="shared" si="0"/>
        <v>   </v>
      </c>
      <c r="E106" s="42">
        <f t="shared" si="1"/>
        <v>0</v>
      </c>
    </row>
    <row r="107" spans="1:5" ht="30.75" customHeight="1">
      <c r="A107" s="173" t="s">
        <v>15</v>
      </c>
      <c r="B107" s="150">
        <f>SUM(B52,B60,B62,B64,B79,B102,B103,B105,)</f>
        <v>11981499.7</v>
      </c>
      <c r="C107" s="150">
        <f>SUM(C52,C60,C62,C64,C79,C102,C103,C105,)</f>
        <v>6198603.48</v>
      </c>
      <c r="D107" s="141">
        <f>IF(B107=0,"   ",C107/B107*100)</f>
        <v>51.73478809167771</v>
      </c>
      <c r="E107" s="142">
        <f t="shared" si="1"/>
        <v>-5782896.219999999</v>
      </c>
    </row>
    <row r="108" spans="1:5" s="59" customFormat="1" ht="23.25" customHeight="1">
      <c r="A108" s="80" t="s">
        <v>304</v>
      </c>
      <c r="B108" s="80"/>
      <c r="C108" s="309"/>
      <c r="D108" s="309"/>
      <c r="E108" s="309"/>
    </row>
    <row r="109" spans="1:5" s="59" customFormat="1" ht="12" customHeight="1">
      <c r="A109" s="80" t="s">
        <v>154</v>
      </c>
      <c r="B109" s="80"/>
      <c r="C109" s="81" t="s">
        <v>247</v>
      </c>
      <c r="D109" s="82"/>
      <c r="E109" s="83"/>
    </row>
    <row r="110" spans="1:5" ht="15" customHeight="1">
      <c r="A110" s="7"/>
      <c r="B110" s="7"/>
      <c r="C110" s="6"/>
      <c r="D110" s="7"/>
      <c r="E110" s="2"/>
    </row>
    <row r="111" spans="1:5" ht="12" customHeight="1">
      <c r="A111" s="48"/>
      <c r="B111" s="48"/>
      <c r="C111" s="49"/>
      <c r="D111" s="50"/>
      <c r="E111" s="51"/>
    </row>
    <row r="112" spans="1:5" ht="12.75">
      <c r="A112" s="7"/>
      <c r="B112" s="7"/>
      <c r="C112" s="6"/>
      <c r="D112" s="7"/>
      <c r="E112" s="2"/>
    </row>
    <row r="113" spans="1:5" ht="12.75">
      <c r="A113" s="7"/>
      <c r="B113" s="7"/>
      <c r="C113" s="6"/>
      <c r="D113" s="7"/>
      <c r="E113" s="2"/>
    </row>
    <row r="114" spans="1:5" ht="12.75">
      <c r="A114" s="7"/>
      <c r="B114" s="7"/>
      <c r="C114" s="6"/>
      <c r="D114" s="7"/>
      <c r="E114" s="2"/>
    </row>
    <row r="115" spans="1:5" ht="12.75">
      <c r="A115" s="7"/>
      <c r="B115" s="7"/>
      <c r="C115" s="6"/>
      <c r="D115" s="7"/>
      <c r="E115" s="2"/>
    </row>
  </sheetData>
  <sheetProtection/>
  <mergeCells count="2">
    <mergeCell ref="A1:E1"/>
    <mergeCell ref="C108:E108"/>
  </mergeCells>
  <printOptions/>
  <pageMargins left="1.1811023622047245" right="0.7874015748031497" top="0.5118110236220472" bottom="0.4724409448818898" header="0.5118110236220472" footer="0.5118110236220472"/>
  <pageSetup fitToHeight="2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Home</cp:lastModifiedBy>
  <cp:lastPrinted>2020-10-07T06:28:20Z</cp:lastPrinted>
  <dcterms:created xsi:type="dcterms:W3CDTF">2001-03-21T05:21:19Z</dcterms:created>
  <dcterms:modified xsi:type="dcterms:W3CDTF">2020-11-07T10:46:20Z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