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0111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43.xml" ContentType="application/vnd.openxmlformats-officedocument.spreadsheetml.revisionLog+xml"/>
  <Default Extension="xml" ContentType="application/xml"/>
  <Override PartName="/xl/revisions/revisionLog12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153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16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211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912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5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0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25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37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511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163.xml" ContentType="application/vnd.openxmlformats-officedocument.spreadsheetml.revisionLog+xml"/>
  <Override PartName="/docProps/core.xml" ContentType="application/vnd.openxmlformats-package.core-properties+xml"/>
  <Override PartName="/xl/revisions/revisionLog115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1421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142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userNames.xml" ContentType="application/vnd.openxmlformats-officedocument.spreadsheetml.userNames+xml"/>
  <Override PartName="/xl/revisions/revisionLog192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3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4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133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41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711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3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4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03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172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110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30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132111.xml" ContentType="application/vnd.openxmlformats-officedocument.spreadsheetml.revisionLog+xml"/>
  <Override PartName="/xl/revisions/revisionLog115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12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Иль!$A$1:$F$105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Иль!$19:$24,Иль!$30:$40,Иль!$46:$46,Иль!$48:$51,Иль!$59:$59,Иль!$61:$63,Иль!$69:$70,Иль!$79:$80,Иль!$82:$82,Иль!$87:$91,Иль!$94:$101,Иль!$144:$144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район!$18:$19,район!$21:$21,район!$26:$26,район!$28:$32,район!$36:$36,район!$39:$39,район!$51:$52,район!$63:$63,район!$70:$70,район!$87:$87,район!$94:$94,район!$122:$124,район!$127:$128</definedName>
    <definedName name="Z_1718F1EE_9F48_4DBE_9531_3B70F9C4A5DD_.wvu.Rows" localSheetId="1" hidden="1">Справка!#REF!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Хор!$19:$24,Хор!$28:$36,Хор!$40:$40,Хор!$44:$44,Хор!$46:$48,Хор!$55:$55,Хор!$57:$59,Хор!$65:$66,Хор!$72:$72,Хор!$76:$77,Хор!$81:$85,Хор!$88:$95,Хор!$142:$142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Юсь!$19:$24,Юсь!$31:$33,Юсь!$36:$36,Юсь!$44:$50,Юсь!$58:$58,Юсь!$60:$62,Юсь!$68:$69,Юсь!$79:$80,Юсь!$84:$88,Юсь!$91:$98,Юсь!$142:$142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Яро!$19:$24,Яро!$28:$33,Яро!$43:$44,Яро!$46:$47,Яро!$54:$54,Яро!$56:$57,Яро!$64:$65,Яро!$75:$76,Яро!$80:$84,Яро!$87:$94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Иль!$A$1:$F$105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Хор!$A$1:$F$99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Иль!$19:$24,Иль!$30:$31,Иль!$33:$33,Иль!$46:$46,Иль!$51:$51,Иль!$61:$62,Иль!$69:$70,Иль!$79:$80,Иль!$82:$82,Иль!$94:$98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район!$18:$19,район!$21:$21,район!$29:$31,район!$51:$52,район!#REF!,район!$63:$63,район!$70:$70,район!$87:$87,район!$94:$94,район!$122:$124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Хор!$19:$24,Хор!$28:$36,Хор!$40:$40,Хор!$46:$48,Хор!$55:$55,Хор!$57:$59,Хор!$65:$66,Хор!$72:$72,Хор!$76:$77,Хор!$81:$85,Хор!$88:$95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Иль!$A$1:$F$105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Иль!$19:$24,Иль!$30:$31,Иль!$33:$33,Иль!$46:$46,Иль!$51:$51,Иль!$61:$62,Иль!$69:$70,Иль!$79:$80,Иль!$82:$82,Иль!$84:$91,Иль!$94:$98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район!$18:$19,район!$21:$21,район!$29:$31,район!$51:$52,район!$63:$63,район!$70:$70,район!$87:$87,район!$94:$94,район!$122:$124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Хор!$19:$24,Хор!$32:$32,Хор!$40:$40,Хор!$44:$44,Хор!$55:$55,Хор!$57:$58,Хор!$65:$66,Хор!$81:$85,Хор!$88:$95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Иль!$A$1:$F$105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Иль!$19:$24,Иль!$30:$40,Иль!$46:$46,Иль!$48:$51,Иль!$59:$59,Иль!$61:$63,Иль!$69:$70,Иль!$79:$80,Иль!$82:$82,Иль!$87:$91,Иль!$94:$101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$57:$59,район!$63:$63,район!$70:$70,район!$81:$81,район!$87:$87,район!$90:$90,район!$94:$94,район!$102:$102,район!$122:$124,район!$127:$128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Хор!$19:$24,Хор!$28:$36,Хор!$40:$40,Хор!$44:$44,Хор!$46:$48,Хор!$55:$55,Хор!$57:$59,Хор!$65:$66,Хор!$72:$72,Хор!$76:$77,Хор!$81:$85,Хор!$88:$95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Иль!$A$1:$F$105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Иль!$19:$24,Иль!$30:$31,Иль!$33:$33,Иль!$46:$46,Иль!$51:$51,Иль!$61:$62,Иль!$69:$70,Иль!$79:$80,Иль!$82:$82,Иль!$94:$98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район!$18:$19,район!$21:$21,район!$29:$31,район!$51:$52,район!$63:$63,район!$70:$70,район!$87:$87,район!$94:$94,район!$122:$124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Хор!$19:$24,Хор!$32:$32,Хор!$40:$40,Хор!$44:$44,Хор!$55:$55,Хор!$57:$58,Хор!$65:$66,Хор!$81:$85,Хор!$88:$95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Иль!$A$1:$F$105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район!$A$1:$F$136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Але!$19:$24,Але!$28:$28,Але!$36:$36,Але!$46:$46,Але!$55:$56,Але!$63:$64,Але!$74:$75,Але!$79:$82,Але!$86:$93,Але!$142:$142</definedName>
    <definedName name="Z_61528DAC_5C4C_48F4_ADE2_8A724B05A086_.wvu.Rows" localSheetId="5" hidden="1">Иль!$19:$23,Иль!$34:$34,Иль!$59:$59,Иль!$61:$62,Иль!$69:$70,Иль!$79:$80,Иль!$82:$82,Иль!$87:$91,Иль!$94:$101,Иль!$144:$144</definedName>
    <definedName name="Z_61528DAC_5C4C_48F4_ADE2_8A724B05A086_.wvu.Rows" localSheetId="6" hidden="1">Кад!$19:$24,Кад!$31:$35,Кад!$38:$38,Кад!$44:$44,Кад!$48:$48,Кад!$56:$56,Кад!$58:$59,Кад!$66:$67,Кад!$77:$78,Кад!$82:$86,Кад!$89:$96,Кад!$142:$142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Мор!$17:$24,Мор!$27:$27,Мор!$31:$33,Мор!$44:$44,Мор!$47:$47,Мор!$49:$49,Мор!$57:$57,Мор!$59:$60,Мор!$64:$65,Мор!$67:$68,Мор!$78:$79,Мор!$83:$88,Мор!$91:$97,Мор!$142:$142</definedName>
    <definedName name="Z_61528DAC_5C4C_48F4_ADE2_8A724B05A086_.wvu.Rows" localSheetId="8" hidden="1">Мос!$19:$24,Мос!$29:$33,Мос!$44:$44,Мос!$50:$50,Мос!$58:$58,Мос!$60:$61,Мос!$68:$69,Мос!$79:$80,Мос!$82:$82,Мос!$85:$92,Мос!$95:$102,Мос!$143:$143</definedName>
    <definedName name="Z_61528DAC_5C4C_48F4_ADE2_8A724B05A086_.wvu.Rows" localSheetId="9" hidden="1">Ори!$19:$24,Ори!$31:$35,Ори!$44:$44,Ори!$48:$50,Ори!$57:$57,Ори!$59:$60,Ори!$67:$68,Ори!$78:$79,Ори!$81:$81,Ори!$84:$88,Ори!$91:$98,Ори!$142:$142</definedName>
    <definedName name="Z_61528DAC_5C4C_48F4_ADE2_8A724B05A086_.wvu.Rows" localSheetId="4" hidden="1">Сун!$19:$24,Сун!$33:$34,Сун!$45:$45,Сун!$49:$51,Сун!$58:$58,Сун!$60:$61,Сун!$68:$69,Сун!$79:$80,Сун!$82:$82,Сун!$85:$85,Сун!$87:$89,Сун!$93:$100,Сун!$142:$142</definedName>
    <definedName name="Z_61528DAC_5C4C_48F4_ADE2_8A724B05A086_.wvu.Rows" localSheetId="10" hidden="1">Сят!$19:$24,Сят!$31:$33,Сят!$38:$38,Сят!$45:$47,Сят!$57:$57,Сят!$59:$60,Сят!$67:$68,Сят!$78:$79,Сят!$83:$87,Сят!$90:$97,Сят!$143:$143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Тор!$19:$24,Тор!$32:$34,Тор!$39:$39,Тор!$57:$57,Тор!$59:$60,Тор!$67:$68,Тор!$75:$75,Тор!$79:$80,Тор!$86:$95,Тор!$142:$142</definedName>
    <definedName name="Z_61528DAC_5C4C_48F4_ADE2_8A724B05A086_.wvu.Rows" localSheetId="12" hidden="1">Хор!$19:$24,Хор!$28:$35,Хор!$40:$40,Хор!$46:$48,Хор!$55:$55,Хор!$57:$58,Хор!$65:$66,Хор!$76:$77,Хор!$81:$85,Хор!$88:$95,Хор!$142:$142</definedName>
    <definedName name="Z_61528DAC_5C4C_48F4_ADE2_8A724B05A086_.wvu.Rows" localSheetId="13" hidden="1">Чум!$19:$24,Чум!$31:$36,Чум!$57:$57,Чум!$59:$60,Чум!$67:$68,Чум!$78:$79,Чум!$83:$87,Чум!$90:$97,Чум!$142:$142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Шать!$19:$25,Шать!$31:$33,Шать!$35:$36,Шать!$57:$57,Шать!$59:$60,Шать!$67:$68,Шать!$78:$79,Шать!$84:$86,Шать!$90:$97,Шать!$142:$142</definedName>
    <definedName name="Z_61528DAC_5C4C_48F4_ADE2_8A724B05A086_.wvu.Rows" localSheetId="15" hidden="1">Юнг!$19:$24,Юнг!$38:$38,Юнг!$46:$46,Юнг!$56:$56,Юнг!$58:$59,Юнг!$66:$67,Юнг!$77:$78,Юнг!$82:$86,Юнг!$89:$96,Юнг!$142:$142</definedName>
    <definedName name="Z_61528DAC_5C4C_48F4_ADE2_8A724B05A086_.wvu.Rows" localSheetId="16" hidden="1">Юсь!$19:$24,Юсь!$36:$36,Юсь!$44:$49,Юсь!$58:$58,Юсь!$60:$61,Юсь!$68:$69,Юсь!$79:$80,Юсь!$84:$88,Юсь!$91:$98,Юсь!$142:$142</definedName>
    <definedName name="Z_61528DAC_5C4C_48F4_ADE2_8A724B05A086_.wvu.Rows" localSheetId="17" hidden="1">Яра!$19:$24,Яра!$28:$29,Яра!$33:$33,Яра!$36:$36,Яра!$46:$46,Яра!$48:$48,Яра!$58:$58,Яра!$60:$61,Яра!$68:$69,Яра!$79:$80,Яра!$84:$88,Яра!$91:$98,Яра!$143:$143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Иль!$A$1:$F$105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Иль!$19:$24,Иль!$30:$40,Иль!$46:$46,Иль!$48:$51,Иль!$59:$59,Иль!$61:$63,Иль!$69:$70,Иль!$79:$80,Иль!$82:$82,Иль!$87:$91,Иль!$94:$101,Иль!$144:$144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район!$18:$19,район!$21:$21,район!$26:$26,район!$28:$32,район!$36:$36,район!$39:$39,район!$51:$52,район!#REF!,район!$63:$63,район!$70:$70,район!$87:$87,район!$94:$94,район!$122:$124,район!$127:$128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Хор!$19:$24,Хор!$28:$33,Хор!$40:$40,Хор!$44:$44,Хор!$46:$48,Хор!$55:$55,Хор!$57:$59,Хор!$65:$66,Хор!$72:$72,Хор!$76:$77,Хор!$81:$85,Хор!$88:$95,Хор!$142:$142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Иль!$A$1:$F$105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Мор!$A$1:$F$101</definedName>
    <definedName name="Z_B30CE22D_C12F_4E12_8BB9_3AAE0A6991CC_.wvu.PrintArea" localSheetId="2" hidden="1">район!$A$1:$F$136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Иль!$19:$24,Иль!$34:$34,Иль!$39:$40,Иль!$49:$51,Иль!$59:$59,Иль!$61:$63,Иль!$69:$70,Иль!$79:$80,Иль!$82:$82,Иль!$87:$91,Иль!$94:$101,Иль!$144:$144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район!$28:$32,район!$51:$51,район!$70:$70,район!$94:$94,район!$122:$124,район!$127:$128</definedName>
    <definedName name="Z_B30CE22D_C12F_4E12_8BB9_3AAE0A6991CC_.wvu.Rows" localSheetId="4" hidden="1">Сун!$19:$24,Сун!$34:$36,Сун!$39:$39,Сун!$49:$51,Сун!$54:$54,Сун!$58:$58,Сун!$60:$62,Сун!$68:$69,Сун!$79:$80,Сун!$82:$82,Сун!$85:$85,Сун!$87:$90,Сун!$93:$100,Сун!$142:$142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Хор!$19:$24,Хор!$28:$36,Хор!$40:$40,Хор!$46:$48,Хор!$55:$55,Хор!$57:$59,Хор!$65:$66,Хор!$76:$77,Хор!$81:$85,Хор!$88:$95,Хор!$142:$142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Иль!$A$1:$F$105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Иль!$19:$24,Иль!$33:$33,Иль!$46:$46,Иль!$51:$51,Иль!$61:$62,Иль!$69:$70,Иль!$79:$80,Иль!$82:$82,Иль!$94:$98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район!$18:$19,район!$21:$21,район!$29:$31,район!$51:$52,район!$63:$63,район!$70:$70,район!$87:$87,район!$94:$94,район!$122:$124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Хор!$19:$24,Хор!$32:$32,Хор!$40:$40,Хор!$55:$55,Хор!$57:$58,Хор!$65:$66,Хор!$81:$85,Хор!$88:$95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Иль!$A$1:$F$105</definedName>
    <definedName name="_xlnm.Print_Area" localSheetId="0">Консол!$A$1:$K$50</definedName>
    <definedName name="_xlnm.Print_Area" localSheetId="7">Мор!$A$1:$F$101</definedName>
    <definedName name="_xlnm.Print_Area" localSheetId="2">район!$A$1:$F$136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851" windowHeight="836" tabRatio="695" activeSheetId="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7 - Личное представление" guid="{5BFCA170-DEAE-4D2C-98A0-1E68B427AC01}" mergeInterval="0" personalView="1" maximized="1" xWindow="1" yWindow="1" windowWidth="1916" windowHeight="850" tabRatio="695" activeSheetId="19"/>
  </customWorkbookViews>
</workbook>
</file>

<file path=xl/calcChain.xml><?xml version="1.0" encoding="utf-8"?>
<calcChain xmlns="http://schemas.openxmlformats.org/spreadsheetml/2006/main">
  <c r="G24" i="1"/>
  <c r="CI17" i="2"/>
  <c r="CJ17"/>
  <c r="D61" i="3"/>
  <c r="C41" i="19"/>
  <c r="C44" i="18"/>
  <c r="C42" i="17"/>
  <c r="C43" i="16"/>
  <c r="C44" i="15"/>
  <c r="C44" i="14"/>
  <c r="C42" i="13"/>
  <c r="C44" i="12"/>
  <c r="C43" i="8"/>
  <c r="C43" i="7"/>
  <c r="C44" i="5"/>
  <c r="C38" i="4"/>
  <c r="CS19" i="2"/>
  <c r="E96" i="3"/>
  <c r="F96"/>
  <c r="E70"/>
  <c r="E46" i="19"/>
  <c r="D40" i="9"/>
  <c r="E47"/>
  <c r="F47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3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6" i="3"/>
  <c r="CG19" i="2"/>
  <c r="CG17"/>
  <c r="CF17"/>
  <c r="CD17"/>
  <c r="CC17"/>
  <c r="D67" i="17"/>
  <c r="D65" i="16"/>
  <c r="D66" i="14"/>
  <c r="D64" i="13"/>
  <c r="D66" i="10"/>
  <c r="D66" i="8"/>
  <c r="D65" i="7"/>
  <c r="D34" i="3"/>
  <c r="C57" i="17"/>
  <c r="AZ15" i="2"/>
  <c r="D40" i="7"/>
  <c r="C61" i="3"/>
  <c r="D53" i="19"/>
  <c r="CM14" i="2"/>
  <c r="D38" i="13"/>
  <c r="BP23" i="2"/>
  <c r="BP27"/>
  <c r="BP14"/>
  <c r="D82" i="18"/>
  <c r="D92" i="3"/>
  <c r="C92"/>
  <c r="F93"/>
  <c r="E93"/>
  <c r="CO17" i="2"/>
  <c r="CO14"/>
  <c r="F132" i="3"/>
  <c r="E132"/>
  <c r="F131"/>
  <c r="E131"/>
  <c r="F130"/>
  <c r="E130"/>
  <c r="D129"/>
  <c r="C129"/>
  <c r="F128"/>
  <c r="C127"/>
  <c r="F127" s="1"/>
  <c r="F126"/>
  <c r="E126"/>
  <c r="D125"/>
  <c r="C125"/>
  <c r="E124"/>
  <c r="E123"/>
  <c r="E122"/>
  <c r="F121"/>
  <c r="E121"/>
  <c r="F120"/>
  <c r="E120"/>
  <c r="D119"/>
  <c r="C119"/>
  <c r="F118"/>
  <c r="E118"/>
  <c r="F117"/>
  <c r="E117"/>
  <c r="F116"/>
  <c r="E116"/>
  <c r="F115"/>
  <c r="E115"/>
  <c r="D114"/>
  <c r="C114"/>
  <c r="F113"/>
  <c r="E113"/>
  <c r="F112"/>
  <c r="E112"/>
  <c r="D111"/>
  <c r="C111"/>
  <c r="F110"/>
  <c r="E110"/>
  <c r="F109"/>
  <c r="E109"/>
  <c r="F108"/>
  <c r="E108"/>
  <c r="F107"/>
  <c r="E107"/>
  <c r="F106"/>
  <c r="E106"/>
  <c r="D105"/>
  <c r="C105"/>
  <c r="F104"/>
  <c r="E104"/>
  <c r="D103"/>
  <c r="C103"/>
  <c r="F102"/>
  <c r="E102"/>
  <c r="F101"/>
  <c r="E101"/>
  <c r="F100"/>
  <c r="E100"/>
  <c r="D99"/>
  <c r="C99"/>
  <c r="F98"/>
  <c r="E98"/>
  <c r="F97"/>
  <c r="E97"/>
  <c r="F95"/>
  <c r="E95"/>
  <c r="F94"/>
  <c r="E94"/>
  <c r="F91"/>
  <c r="E91"/>
  <c r="F90"/>
  <c r="E90"/>
  <c r="F89"/>
  <c r="E89"/>
  <c r="F88"/>
  <c r="E88"/>
  <c r="F87"/>
  <c r="E87"/>
  <c r="D86"/>
  <c r="C86"/>
  <c r="F85"/>
  <c r="E85"/>
  <c r="D84"/>
  <c r="C84"/>
  <c r="F83"/>
  <c r="E83"/>
  <c r="F82"/>
  <c r="E82"/>
  <c r="F81"/>
  <c r="E81"/>
  <c r="F80"/>
  <c r="E80"/>
  <c r="F79"/>
  <c r="E79"/>
  <c r="F78"/>
  <c r="E78"/>
  <c r="F77"/>
  <c r="E77"/>
  <c r="D76"/>
  <c r="F70"/>
  <c r="F69"/>
  <c r="E69"/>
  <c r="F68"/>
  <c r="E68"/>
  <c r="F67"/>
  <c r="E67"/>
  <c r="F66"/>
  <c r="E66"/>
  <c r="F65"/>
  <c r="E65"/>
  <c r="F64"/>
  <c r="E64"/>
  <c r="F63"/>
  <c r="E63"/>
  <c r="F62"/>
  <c r="E62"/>
  <c r="F59"/>
  <c r="E59"/>
  <c r="F58"/>
  <c r="E58"/>
  <c r="D57"/>
  <c r="C57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6" i="8"/>
  <c r="F71"/>
  <c r="E71"/>
  <c r="DF33" i="2"/>
  <c r="C67" i="9"/>
  <c r="C40"/>
  <c r="C66" i="12"/>
  <c r="E65" i="11"/>
  <c r="C66"/>
  <c r="C66" i="10"/>
  <c r="C65" i="7"/>
  <c r="C64" i="13"/>
  <c r="C67" i="17"/>
  <c r="C65" i="16"/>
  <c r="C66" i="15"/>
  <c r="C66" i="14"/>
  <c r="F71"/>
  <c r="E71"/>
  <c r="C63" i="19"/>
  <c r="D26"/>
  <c r="BE28" i="2"/>
  <c r="D71" i="7"/>
  <c r="D83" i="9"/>
  <c r="D26" i="6"/>
  <c r="E44" i="14"/>
  <c r="F41" i="5" l="1"/>
  <c r="E41"/>
  <c r="D25" i="4"/>
  <c r="C25"/>
  <c r="CQ17" i="2"/>
  <c r="CQ14"/>
  <c r="E103" i="3"/>
  <c r="E129"/>
  <c r="F119"/>
  <c r="E24"/>
  <c r="F125"/>
  <c r="F7"/>
  <c r="F24"/>
  <c r="E43"/>
  <c r="E45"/>
  <c r="E76"/>
  <c r="F12"/>
  <c r="E7"/>
  <c r="E84"/>
  <c r="F86"/>
  <c r="F111"/>
  <c r="C4"/>
  <c r="E12"/>
  <c r="E53"/>
  <c r="F61"/>
  <c r="F76"/>
  <c r="F92"/>
  <c r="E119"/>
  <c r="E99"/>
  <c r="F103"/>
  <c r="D4"/>
  <c r="E48"/>
  <c r="F57"/>
  <c r="F114"/>
  <c r="E105"/>
  <c r="C33"/>
  <c r="F51"/>
  <c r="E28"/>
  <c r="E17"/>
  <c r="E5"/>
  <c r="E22"/>
  <c r="E34"/>
  <c r="F45"/>
  <c r="F48"/>
  <c r="F99"/>
  <c r="E125"/>
  <c r="E51"/>
  <c r="F53"/>
  <c r="E57"/>
  <c r="E86"/>
  <c r="E92"/>
  <c r="E111"/>
  <c r="E114"/>
  <c r="C133"/>
  <c r="F105"/>
  <c r="E61"/>
  <c r="D33"/>
  <c r="F84"/>
  <c r="F5"/>
  <c r="F17"/>
  <c r="F22"/>
  <c r="F28"/>
  <c r="F34"/>
  <c r="F43"/>
  <c r="F129"/>
  <c r="D133"/>
  <c r="D40" i="16"/>
  <c r="D60" i="3" l="1"/>
  <c r="D71" s="1"/>
  <c r="F4"/>
  <c r="E4"/>
  <c r="C60"/>
  <c r="C71" s="1"/>
  <c r="F133"/>
  <c r="E133"/>
  <c r="E33"/>
  <c r="F33"/>
  <c r="D34" i="15"/>
  <c r="D36" i="7"/>
  <c r="D66" i="12"/>
  <c r="D34" i="11"/>
  <c r="D26"/>
  <c r="D14"/>
  <c r="CV26" i="2"/>
  <c r="AT18"/>
  <c r="AQ18"/>
  <c r="E71" i="3" l="1"/>
  <c r="H71"/>
  <c r="C72"/>
  <c r="F60"/>
  <c r="E60"/>
  <c r="D72"/>
  <c r="F71" s="1"/>
  <c r="C34" i="11"/>
  <c r="BN21" i="2" s="1"/>
  <c r="C82" i="12"/>
  <c r="C38" i="17"/>
  <c r="D12" i="19"/>
  <c r="D67" i="18" l="1"/>
  <c r="E42" i="13"/>
  <c r="D82" i="12"/>
  <c r="D64"/>
  <c r="D68" i="6"/>
  <c r="C68"/>
  <c r="E73"/>
  <c r="F73"/>
  <c r="G32" i="1" l="1"/>
  <c r="E49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D42" i="6"/>
  <c r="C42"/>
  <c r="CS16" i="2"/>
  <c r="BQ14"/>
  <c r="E52" i="6"/>
  <c r="F52"/>
  <c r="BR14" i="2"/>
  <c r="CV22"/>
  <c r="CV21"/>
  <c r="D41" i="12"/>
  <c r="E49"/>
  <c r="F49"/>
  <c r="D40" i="11"/>
  <c r="CS23" i="2" l="1"/>
  <c r="CS18"/>
  <c r="CS14" l="1"/>
  <c r="D40" i="10"/>
  <c r="D40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0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1" i="5"/>
  <c r="F76"/>
  <c r="C26"/>
  <c r="E48"/>
  <c r="F48"/>
  <c r="E48" i="12"/>
  <c r="F48"/>
  <c r="C41" i="15"/>
  <c r="F41" s="1"/>
  <c r="E42"/>
  <c r="C38" i="13"/>
  <c r="C41" i="12"/>
  <c r="F41" i="10"/>
  <c r="E44"/>
  <c r="F44"/>
  <c r="E44" i="9"/>
  <c r="F44"/>
  <c r="E44" i="8"/>
  <c r="F44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1" i="8"/>
  <c r="EL18" i="2" s="1"/>
  <c r="C77" i="8"/>
  <c r="EH18" i="2" s="1"/>
  <c r="C72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79"/>
  <c r="EL23" i="2" s="1"/>
  <c r="D75" i="13"/>
  <c r="EI23" i="2" s="1"/>
  <c r="D62" i="13"/>
  <c r="D70"/>
  <c r="EF23" i="2" s="1"/>
  <c r="D54" i="13"/>
  <c r="D26"/>
  <c r="AQ27" i="2"/>
  <c r="AQ25"/>
  <c r="AQ19"/>
  <c r="AR19" s="1"/>
  <c r="AQ17"/>
  <c r="AT29"/>
  <c r="AU29" s="1"/>
  <c r="BU32"/>
  <c r="BU33" s="1"/>
  <c r="E88" i="16"/>
  <c r="C81" i="14"/>
  <c r="EK24" i="2" s="1"/>
  <c r="E15" i="14"/>
  <c r="C75" i="13"/>
  <c r="EH23" i="2" s="1"/>
  <c r="E42" i="10"/>
  <c r="F42"/>
  <c r="BO19" i="2"/>
  <c r="F76" i="9"/>
  <c r="F35"/>
  <c r="E35"/>
  <c r="D34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2" i="8"/>
  <c r="F42"/>
  <c r="E86" i="7"/>
  <c r="BR17" i="2"/>
  <c r="E42" i="7"/>
  <c r="F42"/>
  <c r="E35"/>
  <c r="F35"/>
  <c r="E59" i="6"/>
  <c r="F59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6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F18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2" i="9"/>
  <c r="F42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67" i="9"/>
  <c r="D57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3" i="9"/>
  <c r="G12" i="1"/>
  <c r="C89" i="17"/>
  <c r="EQ27" i="2" s="1"/>
  <c r="DP14"/>
  <c r="D26" i="17"/>
  <c r="D32" i="18"/>
  <c r="C79" i="13"/>
  <c r="EK23" i="2" s="1"/>
  <c r="C26" i="11"/>
  <c r="C26" i="8"/>
  <c r="C32" i="6"/>
  <c r="E67" i="18"/>
  <c r="C64" i="15"/>
  <c r="C81" i="8"/>
  <c r="E83"/>
  <c r="F83"/>
  <c r="CG23" i="2"/>
  <c r="CF23"/>
  <c r="F40" i="13"/>
  <c r="F41"/>
  <c r="E40"/>
  <c r="E41"/>
  <c r="CG27" i="2"/>
  <c r="CF27"/>
  <c r="F40" i="17"/>
  <c r="F41"/>
  <c r="E40"/>
  <c r="E41"/>
  <c r="CP27" i="2"/>
  <c r="D7" i="10"/>
  <c r="D7" i="8"/>
  <c r="C31" i="13"/>
  <c r="EL22" i="2"/>
  <c r="EK22"/>
  <c r="D95" i="8"/>
  <c r="EU18" i="2" s="1"/>
  <c r="D66" i="6"/>
  <c r="D65" i="5"/>
  <c r="CO27" i="2"/>
  <c r="D81" i="11"/>
  <c r="EL21" i="2" s="1"/>
  <c r="D65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1" i="9"/>
  <c r="EN19" i="2" s="1"/>
  <c r="EC27"/>
  <c r="F78" i="11"/>
  <c r="F79"/>
  <c r="E78"/>
  <c r="E79"/>
  <c r="D91" i="9"/>
  <c r="EO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4"/>
  <c r="BQ23" i="2" s="1"/>
  <c r="D34" i="13"/>
  <c r="E35"/>
  <c r="F35"/>
  <c r="E36"/>
  <c r="F36"/>
  <c r="E39"/>
  <c r="F39"/>
  <c r="F42"/>
  <c r="E43"/>
  <c r="F43"/>
  <c r="E44"/>
  <c r="F44"/>
  <c r="E45"/>
  <c r="F45"/>
  <c r="F46"/>
  <c r="E47"/>
  <c r="F47"/>
  <c r="C54"/>
  <c r="E56"/>
  <c r="F56"/>
  <c r="F57"/>
  <c r="E58"/>
  <c r="F58"/>
  <c r="E59"/>
  <c r="F59"/>
  <c r="E60"/>
  <c r="F60"/>
  <c r="E61"/>
  <c r="F61"/>
  <c r="C62"/>
  <c r="E63"/>
  <c r="F63"/>
  <c r="EB23" i="2"/>
  <c r="EC23"/>
  <c r="E65" i="13"/>
  <c r="F65"/>
  <c r="E66"/>
  <c r="F66"/>
  <c r="E67"/>
  <c r="F67"/>
  <c r="E68"/>
  <c r="F68"/>
  <c r="C70"/>
  <c r="E72"/>
  <c r="F72"/>
  <c r="E73"/>
  <c r="F73"/>
  <c r="E74"/>
  <c r="F74"/>
  <c r="E76"/>
  <c r="F76"/>
  <c r="E77"/>
  <c r="F77"/>
  <c r="E78"/>
  <c r="F78"/>
  <c r="E80"/>
  <c r="C81"/>
  <c r="EN23" i="2" s="1"/>
  <c r="D81" i="13"/>
  <c r="E82"/>
  <c r="F82"/>
  <c r="E83"/>
  <c r="F83"/>
  <c r="E84"/>
  <c r="F84"/>
  <c r="F85"/>
  <c r="C86"/>
  <c r="EQ23" i="2" s="1"/>
  <c r="D86" i="13"/>
  <c r="ER23" i="2" s="1"/>
  <c r="E87" i="13"/>
  <c r="F87"/>
  <c r="E88"/>
  <c r="F88"/>
  <c r="E89"/>
  <c r="E90"/>
  <c r="E91"/>
  <c r="C92"/>
  <c r="ET23" i="2" s="1"/>
  <c r="D92" i="13"/>
  <c r="EU23" i="2" s="1"/>
  <c r="E93" i="13"/>
  <c r="F93"/>
  <c r="E94"/>
  <c r="F94"/>
  <c r="E95"/>
  <c r="F95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E32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19" i="2" s="1"/>
  <c r="D36" i="9"/>
  <c r="BR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B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I19" i="2" s="1"/>
  <c r="E79" i="9"/>
  <c r="F79"/>
  <c r="E80"/>
  <c r="F80"/>
  <c r="F81"/>
  <c r="E82"/>
  <c r="F82"/>
  <c r="C83"/>
  <c r="EK19" i="2" s="1"/>
  <c r="E84" i="9"/>
  <c r="F84"/>
  <c r="E85"/>
  <c r="F85"/>
  <c r="C86"/>
  <c r="D86"/>
  <c r="C93"/>
  <c r="D93"/>
  <c r="ER19" i="2" s="1"/>
  <c r="E94" i="9"/>
  <c r="F94"/>
  <c r="E95"/>
  <c r="F95"/>
  <c r="E96"/>
  <c r="E97"/>
  <c r="E98"/>
  <c r="C99"/>
  <c r="ET19" i="2" s="1"/>
  <c r="D99" i="9"/>
  <c r="EU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E32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2"/>
  <c r="EF18" i="2" s="1"/>
  <c r="E73" i="8"/>
  <c r="F73"/>
  <c r="F74"/>
  <c r="E75"/>
  <c r="F75"/>
  <c r="E76"/>
  <c r="F76"/>
  <c r="D77"/>
  <c r="EI18" i="2" s="1"/>
  <c r="E78" i="8"/>
  <c r="F78"/>
  <c r="E79"/>
  <c r="F79"/>
  <c r="E82"/>
  <c r="F82"/>
  <c r="C84"/>
  <c r="EN18" i="2" s="1"/>
  <c r="D84" i="8"/>
  <c r="E85"/>
  <c r="F85"/>
  <c r="E86"/>
  <c r="F86"/>
  <c r="E87"/>
  <c r="F87"/>
  <c r="F88"/>
  <c r="C89"/>
  <c r="EQ18" i="2" s="1"/>
  <c r="D89" i="8"/>
  <c r="ER18" i="2" s="1"/>
  <c r="E90" i="8"/>
  <c r="F90"/>
  <c r="E91"/>
  <c r="F91"/>
  <c r="E92"/>
  <c r="E93"/>
  <c r="E94"/>
  <c r="C95"/>
  <c r="ET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8"/>
  <c r="D58"/>
  <c r="E60"/>
  <c r="F60"/>
  <c r="F61"/>
  <c r="E62"/>
  <c r="F62"/>
  <c r="E63"/>
  <c r="F63"/>
  <c r="E64"/>
  <c r="F64"/>
  <c r="E65"/>
  <c r="F65"/>
  <c r="C66"/>
  <c r="E67"/>
  <c r="F67"/>
  <c r="EB16" i="2"/>
  <c r="E69" i="6"/>
  <c r="F69"/>
  <c r="E70"/>
  <c r="F70"/>
  <c r="E71"/>
  <c r="F71"/>
  <c r="E72"/>
  <c r="F72"/>
  <c r="D74"/>
  <c r="EF16" i="2" s="1"/>
  <c r="E75" i="6"/>
  <c r="F75"/>
  <c r="E76"/>
  <c r="F76"/>
  <c r="E78"/>
  <c r="F78"/>
  <c r="C81"/>
  <c r="D81"/>
  <c r="EI16" i="2" s="1"/>
  <c r="E82" i="6"/>
  <c r="F82"/>
  <c r="E83"/>
  <c r="F83"/>
  <c r="E84"/>
  <c r="F84"/>
  <c r="C85"/>
  <c r="EK16" i="2" s="1"/>
  <c r="D85" i="6"/>
  <c r="EL16" i="2" s="1"/>
  <c r="E86" i="6"/>
  <c r="F86"/>
  <c r="C87"/>
  <c r="EN16" i="2" s="1"/>
  <c r="D87" i="6"/>
  <c r="EO16" i="2" s="1"/>
  <c r="E88" i="6"/>
  <c r="F88"/>
  <c r="E89"/>
  <c r="F89"/>
  <c r="E90"/>
  <c r="F90"/>
  <c r="F91"/>
  <c r="C92"/>
  <c r="EQ16" i="2" s="1"/>
  <c r="D92" i="6"/>
  <c r="ER16" i="2" s="1"/>
  <c r="E93" i="6"/>
  <c r="F93"/>
  <c r="E94"/>
  <c r="F94"/>
  <c r="E95"/>
  <c r="E96"/>
  <c r="E97"/>
  <c r="C98"/>
  <c r="D98"/>
  <c r="EU16" i="2" s="1"/>
  <c r="E99" i="6"/>
  <c r="F99"/>
  <c r="E100"/>
  <c r="F100"/>
  <c r="E101"/>
  <c r="F101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F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6" i="9"/>
  <c r="F75" i="11"/>
  <c r="E77" i="12"/>
  <c r="F74" i="17"/>
  <c r="C73"/>
  <c r="EE27" i="2" s="1"/>
  <c r="E74" i="17"/>
  <c r="E80" i="8"/>
  <c r="F80"/>
  <c r="E74"/>
  <c r="CC20" i="2"/>
  <c r="C72" i="12"/>
  <c r="C38" i="19"/>
  <c r="F39"/>
  <c r="D25" i="16" l="1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8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D25" i="13"/>
  <c r="E40" i="9"/>
  <c r="EB15" i="2"/>
  <c r="ED15" s="1"/>
  <c r="E5" i="12"/>
  <c r="F55" i="16"/>
  <c r="E40" i="8"/>
  <c r="CK27" i="2"/>
  <c r="E70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4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1"/>
  <c r="F20"/>
  <c r="DU29" i="2"/>
  <c r="AF28"/>
  <c r="E26" i="17"/>
  <c r="E26" i="14"/>
  <c r="E66"/>
  <c r="CN23" i="2"/>
  <c r="EA23"/>
  <c r="W21"/>
  <c r="E37" i="11"/>
  <c r="EA21" i="2"/>
  <c r="N21"/>
  <c r="F14" i="9"/>
  <c r="E91"/>
  <c r="CN18" i="2"/>
  <c r="F56" i="8"/>
  <c r="E7"/>
  <c r="W18" i="2"/>
  <c r="E34" i="7"/>
  <c r="F68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2"/>
  <c r="Q22" i="2"/>
  <c r="E94" i="11"/>
  <c r="F40" i="9"/>
  <c r="E20"/>
  <c r="F36"/>
  <c r="F86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1" i="8"/>
  <c r="F17" i="7"/>
  <c r="DJ16" i="2"/>
  <c r="F38" i="6"/>
  <c r="F87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2" i="13"/>
  <c r="DO23" i="2"/>
  <c r="F54" i="13"/>
  <c r="D96"/>
  <c r="F86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5" i="9"/>
  <c r="DK19" i="2"/>
  <c r="DX19"/>
  <c r="Q19"/>
  <c r="K19"/>
  <c r="E66" i="8"/>
  <c r="CE18" i="2"/>
  <c r="K18"/>
  <c r="BL31"/>
  <c r="E89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4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6" i="9"/>
  <c r="E65"/>
  <c r="DO19" i="2"/>
  <c r="E34" i="9"/>
  <c r="F26"/>
  <c r="EV18" i="2"/>
  <c r="EJ18"/>
  <c r="F20" i="8"/>
  <c r="E95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2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1" i="6"/>
  <c r="F17"/>
  <c r="F87" i="7"/>
  <c r="F29"/>
  <c r="F5"/>
  <c r="E56" i="8"/>
  <c r="E17"/>
  <c r="E78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3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7" i="8"/>
  <c r="H20" i="1"/>
  <c r="CT15" i="2"/>
  <c r="E68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2" i="8"/>
  <c r="D98" i="11"/>
  <c r="F56"/>
  <c r="F57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7" i="8"/>
  <c r="AC15" i="2"/>
  <c r="EU14"/>
  <c r="EV14" s="1"/>
  <c r="ES17"/>
  <c r="E7" i="13"/>
  <c r="F34" i="9"/>
  <c r="E34" i="15"/>
  <c r="F95" i="18"/>
  <c r="DO17" i="2"/>
  <c r="F91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4" i="13"/>
  <c r="F72" i="8"/>
  <c r="C98"/>
  <c r="D98" i="14"/>
  <c r="E79" i="13"/>
  <c r="E20" i="12"/>
  <c r="F83" i="15"/>
  <c r="E91" i="5"/>
  <c r="F17" i="15"/>
  <c r="EU17" i="2"/>
  <c r="EV17" s="1"/>
  <c r="E85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2" i="13"/>
  <c r="F17" i="18"/>
  <c r="DR14" i="2"/>
  <c r="F17" i="11"/>
  <c r="F85" i="6"/>
  <c r="F75" i="13"/>
  <c r="F80" i="16"/>
  <c r="F61" i="19"/>
  <c r="E14" i="18"/>
  <c r="F20" i="14"/>
  <c r="Q25" i="2"/>
  <c r="CK25"/>
  <c r="Z22"/>
  <c r="EK20"/>
  <c r="EM20" s="1"/>
  <c r="EH16"/>
  <c r="EJ16" s="1"/>
  <c r="E57" i="9"/>
  <c r="F7"/>
  <c r="E64" i="15"/>
  <c r="F79" i="13"/>
  <c r="E93" i="7"/>
  <c r="E5" i="6"/>
  <c r="D25" i="10"/>
  <c r="DN31" i="2"/>
  <c r="DN33" s="1"/>
  <c r="E37" i="12"/>
  <c r="F64"/>
  <c r="EC28" i="2"/>
  <c r="AU24"/>
  <c r="AR16"/>
  <c r="E66" i="6"/>
  <c r="DJ18" i="2"/>
  <c r="F17" i="19"/>
  <c r="E29" i="4"/>
  <c r="E80" i="16"/>
  <c r="E99" i="9"/>
  <c r="DJ19" i="2"/>
  <c r="F14" i="4"/>
  <c r="E77" i="15"/>
  <c r="E94"/>
  <c r="E82" i="12"/>
  <c r="E78" i="19"/>
  <c r="F29" i="10"/>
  <c r="E84"/>
  <c r="F66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8" i="6"/>
  <c r="N28" i="2"/>
  <c r="D97" i="7"/>
  <c r="AI28" i="2"/>
  <c r="CN21"/>
  <c r="K14"/>
  <c r="EA28"/>
  <c r="CK21"/>
  <c r="F58" i="6"/>
  <c r="F7"/>
  <c r="DM31" i="2"/>
  <c r="DM33" s="1"/>
  <c r="CE26"/>
  <c r="CA26"/>
  <c r="CA29"/>
  <c r="CA28"/>
  <c r="CA27"/>
  <c r="CO31"/>
  <c r="CO33" s="1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8" i="6"/>
  <c r="E55" i="7"/>
  <c r="F55"/>
  <c r="F38" i="19"/>
  <c r="EA17" i="2"/>
  <c r="F14" i="5"/>
  <c r="EV19" i="2"/>
  <c r="E26" i="9"/>
  <c r="E31" i="10"/>
  <c r="F5"/>
  <c r="E75" i="13"/>
  <c r="F92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6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6" i="9"/>
  <c r="F46" i="17"/>
  <c r="F34"/>
  <c r="E72" i="12"/>
  <c r="AC26" i="2"/>
  <c r="DU24"/>
  <c r="CH24"/>
  <c r="AO19"/>
  <c r="N19"/>
  <c r="DU18"/>
  <c r="E87" i="6"/>
  <c r="F17" i="9"/>
  <c r="F82" i="10"/>
  <c r="E5"/>
  <c r="E86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6" i="6"/>
  <c r="F35"/>
  <c r="E29" i="7"/>
  <c r="E17"/>
  <c r="F64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4" i="8"/>
  <c r="F89" i="10"/>
  <c r="F14"/>
  <c r="F84" i="12"/>
  <c r="F5" i="13"/>
  <c r="F83" i="14"/>
  <c r="E26" i="15"/>
  <c r="F12"/>
  <c r="E31" i="16"/>
  <c r="F20" i="17"/>
  <c r="F65" i="18"/>
  <c r="E20" i="19"/>
  <c r="Z26" i="2"/>
  <c r="E62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89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8" i="9"/>
  <c r="E5"/>
  <c r="F5"/>
  <c r="E77" i="10"/>
  <c r="EI20" i="2"/>
  <c r="EI21"/>
  <c r="EJ21" s="1"/>
  <c r="E77" i="11"/>
  <c r="E31"/>
  <c r="E26"/>
  <c r="F26"/>
  <c r="E32" i="12"/>
  <c r="F32"/>
  <c r="E34" i="13"/>
  <c r="BR23" i="2"/>
  <c r="BS23" s="1"/>
  <c r="F34" i="13"/>
  <c r="E14"/>
  <c r="F14"/>
  <c r="F20" i="16"/>
  <c r="E20"/>
  <c r="E29" i="17"/>
  <c r="F29"/>
  <c r="D25"/>
  <c r="E61" i="19"/>
  <c r="DY29" i="2"/>
  <c r="EA29" s="1"/>
  <c r="EK18"/>
  <c r="E81" i="8"/>
  <c r="C25"/>
  <c r="F26"/>
  <c r="G16" i="1"/>
  <c r="D16" s="1"/>
  <c r="E67" i="9"/>
  <c r="EC19" i="2"/>
  <c r="F67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2" i="6"/>
  <c r="F93" i="9"/>
  <c r="E89" i="10"/>
  <c r="EV23" i="2"/>
  <c r="F65" i="5"/>
  <c r="E32" i="18"/>
  <c r="CK18" i="2"/>
  <c r="G13" i="1"/>
  <c r="BF14" i="2"/>
  <c r="E31" i="4"/>
  <c r="E5" i="5"/>
  <c r="F5"/>
  <c r="ET16" i="2"/>
  <c r="E98" i="6"/>
  <c r="E14"/>
  <c r="D4"/>
  <c r="F14"/>
  <c r="EQ19" i="2"/>
  <c r="E93" i="9"/>
  <c r="EE19" i="2"/>
  <c r="C103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7" i="6"/>
  <c r="C74"/>
  <c r="F77"/>
  <c r="E73" i="7"/>
  <c r="F73"/>
  <c r="F79"/>
  <c r="C76"/>
  <c r="CR31" i="2"/>
  <c r="CR33" s="1"/>
  <c r="CT19"/>
  <c r="F73" i="17"/>
  <c r="CN28" i="2"/>
  <c r="F31" i="8"/>
  <c r="E17" i="9"/>
  <c r="F31" i="11"/>
  <c r="C96" i="13"/>
  <c r="F88" i="14"/>
  <c r="C25"/>
  <c r="E14" i="16"/>
  <c r="D103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3" i="9"/>
  <c r="F83"/>
  <c r="EL19" i="2"/>
  <c r="F12" i="10"/>
  <c r="C4"/>
  <c r="F64" i="11"/>
  <c r="E20"/>
  <c r="F20"/>
  <c r="E5"/>
  <c r="F5"/>
  <c r="F17" i="12"/>
  <c r="C4"/>
  <c r="E17"/>
  <c r="F81" i="13"/>
  <c r="EO23" i="2"/>
  <c r="EP23" s="1"/>
  <c r="E81" i="13"/>
  <c r="EE23" i="2"/>
  <c r="F70" i="13"/>
  <c r="F56" i="14"/>
  <c r="E56"/>
  <c r="E12"/>
  <c r="D4"/>
  <c r="EL27" i="2"/>
  <c r="D4" i="17"/>
  <c r="F14"/>
  <c r="E14"/>
  <c r="F30" i="18"/>
  <c r="E30"/>
  <c r="C25"/>
  <c r="E14" i="19"/>
  <c r="F14"/>
  <c r="F73" i="9"/>
  <c r="EF19" i="2"/>
  <c r="E52" i="4"/>
  <c r="F52"/>
  <c r="DK20" i="2"/>
  <c r="DR20"/>
  <c r="DO14"/>
  <c r="DK14"/>
  <c r="F35" i="12"/>
  <c r="E35"/>
  <c r="E38" i="13"/>
  <c r="F38"/>
  <c r="E7" i="5"/>
  <c r="F7"/>
  <c r="EB27" i="2"/>
  <c r="F67" i="17"/>
  <c r="E13" i="7"/>
  <c r="Y17" i="2"/>
  <c r="F13" i="7"/>
  <c r="Y19" i="2"/>
  <c r="G19" s="1"/>
  <c r="E13" i="9"/>
  <c r="D12"/>
  <c r="F95" i="8"/>
  <c r="CE23" i="2"/>
  <c r="K22"/>
  <c r="E17" i="5"/>
  <c r="F17"/>
  <c r="E63" i="7"/>
  <c r="F63"/>
  <c r="F84" i="8"/>
  <c r="E84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1" i="13"/>
  <c r="F71"/>
  <c r="C72" i="14"/>
  <c r="F75"/>
  <c r="F99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3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8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7" i="13"/>
  <c r="C49" s="1"/>
  <c r="E98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39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2" i="6"/>
  <c r="E74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6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3" i="9"/>
  <c r="E103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39" i="8"/>
  <c r="F4"/>
  <c r="E4"/>
  <c r="D39" i="1"/>
  <c r="H39"/>
  <c r="G28"/>
  <c r="E96" i="13"/>
  <c r="F72" i="10"/>
  <c r="C99"/>
  <c r="E99" s="1"/>
  <c r="F25" i="18"/>
  <c r="DL20" i="2"/>
  <c r="C39" i="8"/>
  <c r="C51" s="1"/>
  <c r="D37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4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0" i="13" l="1"/>
  <c r="C52" i="12"/>
  <c r="D53" i="18"/>
  <c r="F51" i="11"/>
  <c r="E10" i="1"/>
  <c r="C52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2" i="9"/>
  <c r="C53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4" i="6"/>
  <c r="BP31" i="2"/>
  <c r="H16"/>
  <c r="DI14"/>
  <c r="EW19"/>
  <c r="EA31"/>
  <c r="DG21"/>
  <c r="DI21" s="1"/>
  <c r="EW14"/>
  <c r="EW22"/>
  <c r="C51" i="7"/>
  <c r="F102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2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7" i="13"/>
  <c r="D49"/>
  <c r="E37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3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39" i="8"/>
  <c r="D51"/>
  <c r="G51" s="1"/>
  <c r="E39"/>
  <c r="DG26" i="2"/>
  <c r="EW26" s="1"/>
  <c r="EG26"/>
  <c r="J36" i="1"/>
  <c r="E19" i="2"/>
  <c r="EX19"/>
  <c r="C18"/>
  <c r="H18"/>
  <c r="F31"/>
  <c r="F33" s="1"/>
  <c r="J37" i="1"/>
  <c r="EP31" i="2"/>
  <c r="E4" i="9"/>
  <c r="F4"/>
  <c r="D39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4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39" i="9"/>
  <c r="D52"/>
  <c r="F39"/>
  <c r="E23" i="2"/>
  <c r="EX23"/>
  <c r="EY23" s="1"/>
  <c r="EG31"/>
  <c r="K31" i="1"/>
  <c r="F39" i="7"/>
  <c r="D50"/>
  <c r="E39"/>
  <c r="I33" i="1"/>
  <c r="K33" s="1"/>
  <c r="EX17" i="2"/>
  <c r="EY17" s="1"/>
  <c r="E17"/>
  <c r="D50" i="13"/>
  <c r="E49"/>
  <c r="F49"/>
  <c r="E7" i="1"/>
  <c r="K7"/>
  <c r="F51" i="8"/>
  <c r="D52"/>
  <c r="E51"/>
  <c r="E53" i="6"/>
  <c r="F53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3" i="9"/>
  <c r="F52"/>
  <c r="E52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<sst xmlns="http://schemas.openxmlformats.org/spreadsheetml/2006/main" count="2848" uniqueCount="435">
  <si>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</si>
  <si>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</si>
  <si>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</si>
  <si>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</si>
  <si>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</si>
  <si>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</si>
  <si>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</si>
  <si>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</si>
  <si>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</si>
  <si>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</si>
  <si>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</si>
  <si>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</si>
  <si>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</si>
  <si>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</si>
  <si>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</si>
  <si>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</si>
  <si>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</si>
  <si>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</si>
  <si>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</si>
  <si>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</si>
  <si>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</si>
  <si>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</si>
  <si>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</si>
  <si>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</si>
  <si>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</si>
  <si>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</si>
  <si>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</si>
  <si>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</si>
  <si>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</si>
  <si>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</si>
  <si>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</si>
  <si>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</si>
  <si>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</si>
  <si>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</si>
  <si>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</si>
  <si>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</si>
  <si>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</si>
  <si>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</si>
  <si>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</si>
  <si>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</si>
  <si>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</si>
  <si>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</si>
  <si>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</si>
  <si>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</si>
  <si>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</si>
  <si>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</si>
  <si>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</si>
  <si>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</si>
  <si>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</si>
  <si>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</si>
  <si>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</si>
  <si>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</si>
  <si>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</si>
  <si>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</si>
  <si>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</si>
  <si>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</si>
  <si>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</si>
  <si>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</si>
  <si>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</si>
  <si>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</si>
  <si>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</si>
  <si>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</si>
  <si>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</si>
  <si>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</si>
  <si>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</si>
  <si>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</si>
  <si>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</si>
  <si>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</si>
  <si>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</si>
  <si>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</si>
  <si>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</si>
  <si>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</si>
  <si>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</si>
  <si>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</si>
  <si>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</si>
  <si>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</si>
  <si>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</si>
  <si>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</si>
  <si>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</si>
  <si>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</si>
  <si>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</si>
  <si>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</si>
  <si>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</si>
  <si>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</si>
  <si>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</si>
  <si>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</si>
  <si>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</si>
  <si>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</si>
  <si>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</si>
  <si>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</si>
  <si>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</si>
  <si>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</si>
  <si>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</si>
  <si>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</si>
  <si>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</si>
  <si>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</si>
  <si>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</si>
  <si>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</si>
  <si>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</si>
  <si>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</si>
  <si>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</si>
  <si>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</si>
  <si>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</si>
  <si>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</si>
  <si>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</si>
  <si>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</si>
  <si>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</si>
  <si>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</si>
  <si>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</si>
  <si>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</si>
  <si>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</si>
  <si>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</si>
  <si>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</si>
  <si>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</si>
  <si>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</si>
  <si>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</si>
  <si>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</si>
  <si>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</si>
  <si>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</si>
  <si>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</si>
  <si>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</si>
  <si>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</si>
  <si>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</si>
  <si>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</si>
  <si>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</si>
  <si>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</si>
  <si>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</si>
  <si>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</si>
  <si>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</si>
  <si>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</si>
  <si>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</si>
  <si>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</si>
  <si>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</si>
  <si>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</si>
  <si>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</si>
  <si>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</si>
  <si>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</si>
  <si>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</si>
  <si>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</si>
  <si>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</si>
  <si>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</si>
  <si>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</si>
  <si>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</si>
  <si>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</si>
  <si>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</si>
  <si>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</si>
  <si>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</si>
  <si>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</si>
  <si>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</si>
  <si>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</si>
  <si>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</si>
  <si>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</si>
  <si>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</si>
  <si>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</si>
  <si>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</si>
  <si>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</si>
  <si>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</si>
  <si>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</si>
  <si>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</si>
  <si>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</si>
  <si>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</si>
  <si>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</si>
  <si>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</si>
  <si>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</si>
  <si>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</si>
  <si>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</si>
  <si>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</si>
  <si>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</si>
  <si>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</si>
  <si>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</si>
  <si>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</si>
  <si>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</si>
  <si>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</si>
  <si>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</si>
  <si>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</si>
  <si>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</si>
  <si>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</si>
  <si>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</si>
  <si>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</si>
  <si>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</si>
  <si>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</si>
  <si>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</si>
  <si>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</si>
  <si>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</si>
  <si>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</si>
  <si>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</si>
  <si>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</si>
  <si>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</si>
  <si>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</si>
  <si>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</si>
  <si>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</si>
  <si>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</si>
  <si>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</si>
  <si>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</si>
  <si>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</si>
  <si>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</si>
  <si>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</si>
  <si>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</si>
  <si>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</si>
  <si>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</si>
  <si>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</si>
  <si>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</si>
  <si>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</si>
  <si>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</si>
  <si>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</si>
  <si>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</si>
  <si>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</si>
  <si>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</si>
  <si>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</si>
  <si>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</si>
  <si>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</si>
  <si>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</si>
  <si>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</si>
  <si>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</si>
  <si>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</si>
  <si>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</si>
  <si>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</si>
  <si>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</si>
  <si>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</si>
  <si>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</si>
  <si>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</si>
  <si>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</si>
  <si>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</si>
  <si>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</si>
  <si>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</si>
  <si>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</si>
  <si>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</si>
  <si>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</si>
  <si>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</si>
  <si>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</si>
  <si>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</si>
  <si>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</si>
  <si>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</si>
  <si>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</si>
  <si>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</si>
  <si>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</si>
  <si>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</si>
  <si>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</si>
  <si>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</si>
  <si>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</si>
  <si>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</si>
  <si>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</si>
  <si>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</si>
  <si>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</si>
  <si>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</si>
  <si>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</si>
  <si>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</si>
  <si>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</si>
  <si>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</si>
  <si>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</si>
  <si>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</si>
  <si>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</si>
  <si>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</si>
  <si>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</si>
  <si>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</si>
  <si>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</si>
  <si>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</si>
  <si>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</si>
  <si>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</si>
  <si>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</si>
  <si>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</si>
  <si>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</si>
  <si>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</si>
  <si>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</si>
  <si>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</si>
  <si>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</si>
  <si>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</si>
  <si>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</si>
  <si>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</si>
  <si>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</si>
  <si>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</si>
  <si>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</si>
  <si>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</si>
  <si>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</si>
  <si>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</si>
  <si>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</si>
  <si>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</si>
  <si>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</si>
  <si>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</si>
  <si>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</si>
  <si>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</si>
  <si>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</si>
  <si>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</si>
  <si>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</si>
  <si>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</si>
  <si>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</si>
  <si>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</si>
  <si>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</si>
  <si>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</si>
  <si>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</si>
  <si>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</si>
  <si>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</si>
  <si>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</si>
  <si>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</si>
  <si>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</si>
  <si>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</si>
  <si>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</si>
  <si>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</si>
  <si>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</si>
  <si>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</si>
  <si>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</si>
  <si>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</si>
  <si>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</si>
  <si>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</si>
  <si>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</si>
  <si>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</si>
  <si>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</si>
  <si>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</si>
  <si>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</si>
  <si>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</si>
  <si>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</si>
  <si>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</si>
  <si>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</si>
  <si>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</si>
  <si>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</si>
  <si>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</si>
  <si>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</si>
  <si>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</si>
  <si>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</si>
  <si>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</si>
  <si>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</si>
  <si>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</si>
  <si>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</si>
  <si>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</si>
  <si>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</si>
  <si>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</si>
  <si>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</si>
  <si>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</si>
  <si>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</si>
  <si>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</si>
  <si>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</si>
  <si>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</si>
  <si>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</si>
  <si>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</si>
  <si>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</si>
  <si>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</si>
  <si>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</si>
  <si>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</si>
  <si>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</si>
  <si>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</si>
  <si>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</si>
  <si>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</si>
  <si>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</si>
  <si>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</si>
  <si>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</si>
  <si>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</si>
  <si>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</si>
  <si>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</si>
  <si>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</si>
  <si>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</si>
  <si>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</si>
  <si>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</si>
  <si>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</si>
  <si>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</si>
  <si>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</si>
  <si>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</si>
  <si>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</si>
  <si>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</si>
  <si>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</si>
  <si>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</si>
  <si>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</si>
  <si>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</si>
  <si>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</si>
  <si>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</si>
  <si>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</si>
  <si>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</si>
  <si>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</si>
  <si>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</si>
  <si>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</si>
  <si>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</si>
  <si>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</si>
  <si>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</si>
  <si>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</si>
  <si>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</si>
  <si>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</si>
  <si>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</si>
  <si>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</si>
  <si>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</si>
  <si>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</si>
  <si>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</si>
  <si>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</si>
  <si>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</si>
  <si>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</si>
  <si>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</si>
  <si>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</si>
  <si>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</si>
  <si>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</si>
  <si>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</si>
  <si>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</si>
  <si>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</si>
  <si>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</si>
  <si>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</si>
  <si>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</si>
  <si>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</si>
  <si>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</si>
  <si>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</si>
  <si>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</si>
  <si>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</si>
  <si>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</si>
  <si>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</si>
  <si>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</si>
  <si>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Денежные взыскания за нарушение законодательства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</si>
  <si>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</si>
  <si>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</si>
  <si>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</si>
  <si>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</si>
  <si>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</si>
  <si>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</si>
  <si>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</si>
  <si>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</si>
  <si>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</si>
  <si>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 xml:space="preserve">                     Анализ исполнения бюджета Александровского сельского поселения на 01.04.2020 г.</t>
  </si>
  <si>
    <t>исполнен на 01.04.2020 г.</t>
  </si>
  <si>
    <t>исполнено на 01.04.2020 г.</t>
  </si>
  <si>
    <t>исполнено на 01.04.2020 г</t>
  </si>
  <si>
    <t xml:space="preserve">                     Анализ исполнения бюджета Большесундырского сельского поселения на 01.04.2020 г.</t>
  </si>
  <si>
    <t xml:space="preserve">                     Анализ исполнения бюджета Ильинского сельского поселения на 01.04.2020 г.</t>
  </si>
  <si>
    <t xml:space="preserve">                     Анализ исполнения бюджета Кадикасинского сельского поселения на 01.04.2020 г.</t>
  </si>
  <si>
    <t xml:space="preserve">                     Анализ исполнения бюджета Моргаушского сельского поселения на 01.04.2020 г.</t>
  </si>
  <si>
    <t xml:space="preserve">                     Анализ исполнения бюджета Москакасинского сельского поселения на 01.04.2020 г.</t>
  </si>
  <si>
    <t xml:space="preserve">                     Анализ исполнения бюджета Орининского сельского поселения на 01.04.2020 г.</t>
  </si>
  <si>
    <t xml:space="preserve">                     Анализ исполнения бюджета Сятракасинского сельского поселения на 01.04.2020 г.</t>
  </si>
  <si>
    <t xml:space="preserve">                     Анализ исполнения бюджета Тораевского сельского поселения на 01.04.2020 г.</t>
  </si>
  <si>
    <t xml:space="preserve">                     Анализ исполнения бюджета Хорнойского сельского поселения на 01.04.2020 г.</t>
  </si>
  <si>
    <t xml:space="preserve">                     Анализ исполнения бюджета Чуманкасинского сельского поселения на 01.04.2020 г.</t>
  </si>
  <si>
    <t xml:space="preserve">                     Анализ исполнения бюджета Шатьмапосинского сельского поселения на 01.04.2020 г.</t>
  </si>
  <si>
    <t xml:space="preserve">                     Анализ исполнения бюджета Юнгинского сельского поселения на 01.04.2020 г.</t>
  </si>
  <si>
    <t xml:space="preserve">                     Анализ исполнения бюджета Юськасинского сельского поселения на 01.04.2020 г.</t>
  </si>
  <si>
    <t>исполнено на 01.04.2020г.</t>
  </si>
  <si>
    <t xml:space="preserve">                     Анализ исполнения бюджета Ярабайкасинского сельского поселения на 01.04.2020 г.</t>
  </si>
  <si>
    <t xml:space="preserve">                     Анализ исполнения бюджета Ярославского сельского поселения на 01.04.2020 г.</t>
  </si>
  <si>
    <t>об исполнении бюджетов поселений  Моргаушского района  на 1 апреля 2020 г.</t>
  </si>
  <si>
    <t>Анализ исполнения консолидированного бюджета Моргаушского районана 01.04.2020 г.</t>
  </si>
  <si>
    <t xml:space="preserve">                                                        Моргаушского района на 01.04.2020 г. </t>
  </si>
  <si>
    <t xml:space="preserve">исполнено на 01.04.2020 г. </t>
  </si>
</sst>
</file>

<file path=xl/styles.xml><?xml version="1.0" encoding="utf-8"?>
<styleSheet xmlns="http://schemas.openxmlformats.org/spreadsheetml/2006/main">
  <numFmts count="22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25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166" fontId="18" fillId="5" borderId="1" xfId="12" applyNumberFormat="1" applyFont="1" applyFill="1" applyBorder="1" applyAlignment="1">
      <alignment horizontal="right" vertical="center"/>
    </xf>
    <xf numFmtId="0" fontId="18" fillId="0" borderId="1" xfId="11" applyNumberFormat="1" applyFont="1" applyBorder="1" applyAlignment="1">
      <alignment horizontal="center"/>
    </xf>
    <xf numFmtId="166" fontId="3" fillId="3" borderId="1" xfId="12" applyNumberFormat="1" applyFont="1" applyFill="1" applyBorder="1" applyAlignment="1">
      <alignment horizontal="right" vertical="center"/>
    </xf>
    <xf numFmtId="167" fontId="3" fillId="0" borderId="1" xfId="12" applyNumberFormat="1" applyFont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3" fillId="3" borderId="8" xfId="12" applyNumberFormat="1" applyFont="1" applyFill="1" applyBorder="1" applyAlignment="1">
      <alignment horizontal="right" vertical="center"/>
    </xf>
    <xf numFmtId="183" fontId="3" fillId="0" borderId="8" xfId="11" applyNumberFormat="1" applyFont="1" applyBorder="1" applyAlignment="1">
      <alignment horizontal="right" vertical="center"/>
    </xf>
    <xf numFmtId="173" fontId="3" fillId="5" borderId="1" xfId="12" applyNumberFormat="1" applyFont="1" applyFill="1" applyBorder="1" applyAlignment="1">
      <alignment horizontal="right" vertical="center"/>
    </xf>
    <xf numFmtId="173" fontId="3" fillId="0" borderId="1" xfId="11" applyNumberFormat="1" applyFont="1" applyBorder="1" applyAlignment="1">
      <alignment horizontal="right" vertical="center"/>
    </xf>
    <xf numFmtId="179" fontId="3" fillId="0" borderId="1" xfId="11" applyNumberFormat="1" applyFont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4" fontId="3" fillId="0" borderId="1" xfId="12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82" fontId="3" fillId="0" borderId="1" xfId="11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485" Type="http://schemas.openxmlformats.org/officeDocument/2006/relationships/revisionLog" Target="revisionLog12.xml"/><Relationship Id="rId366" Type="http://schemas.openxmlformats.org/officeDocument/2006/relationships/revisionLog" Target="revisionLog111.xml"/><Relationship Id="rId387" Type="http://schemas.openxmlformats.org/officeDocument/2006/relationships/revisionLog" Target="revisionLog121.xml"/><Relationship Id="rId510" Type="http://schemas.openxmlformats.org/officeDocument/2006/relationships/revisionLog" Target="revisionLog131.xml"/><Relationship Id="rId531" Type="http://schemas.openxmlformats.org/officeDocument/2006/relationships/revisionLog" Target="revisionLog141.xml"/><Relationship Id="rId552" Type="http://schemas.openxmlformats.org/officeDocument/2006/relationships/revisionLog" Target="revisionLog15.xml"/><Relationship Id="rId573" Type="http://schemas.openxmlformats.org/officeDocument/2006/relationships/revisionLog" Target="revisionLog11.xml"/><Relationship Id="rId594" Type="http://schemas.openxmlformats.org/officeDocument/2006/relationships/revisionLog" Target="revisionLog13.xml"/><Relationship Id="rId412" Type="http://schemas.openxmlformats.org/officeDocument/2006/relationships/revisionLog" Target="revisionLog1411.xml"/><Relationship Id="rId433" Type="http://schemas.openxmlformats.org/officeDocument/2006/relationships/revisionLog" Target="revisionLog18.xml"/><Relationship Id="rId454" Type="http://schemas.openxmlformats.org/officeDocument/2006/relationships/revisionLog" Target="revisionLog1121.xml"/><Relationship Id="rId475" Type="http://schemas.openxmlformats.org/officeDocument/2006/relationships/revisionLog" Target="revisionLog161.xml"/><Relationship Id="rId496" Type="http://schemas.openxmlformats.org/officeDocument/2006/relationships/revisionLog" Target="revisionLog110.xml"/><Relationship Id="rId377" Type="http://schemas.openxmlformats.org/officeDocument/2006/relationships/revisionLog" Target="revisionLog181.xml"/><Relationship Id="rId398" Type="http://schemas.openxmlformats.org/officeDocument/2006/relationships/revisionLog" Target="revisionLog11011.xml"/><Relationship Id="rId500" Type="http://schemas.openxmlformats.org/officeDocument/2006/relationships/revisionLog" Target="revisionLog1131.xml"/><Relationship Id="rId521" Type="http://schemas.openxmlformats.org/officeDocument/2006/relationships/revisionLog" Target="revisionLog1141.xml"/><Relationship Id="rId542" Type="http://schemas.openxmlformats.org/officeDocument/2006/relationships/revisionLog" Target="revisionLog115.xml"/><Relationship Id="rId563" Type="http://schemas.openxmlformats.org/officeDocument/2006/relationships/revisionLog" Target="revisionLog112.xml"/><Relationship Id="rId584" Type="http://schemas.openxmlformats.org/officeDocument/2006/relationships/revisionLog" Target="revisionLog132.xml"/><Relationship Id="rId402" Type="http://schemas.openxmlformats.org/officeDocument/2006/relationships/revisionLog" Target="revisionLog11311.xml"/><Relationship Id="rId423" Type="http://schemas.openxmlformats.org/officeDocument/2006/relationships/revisionLog" Target="revisionLog1711.xml"/><Relationship Id="rId444" Type="http://schemas.openxmlformats.org/officeDocument/2006/relationships/revisionLog" Target="revisionLog11211.xml"/><Relationship Id="rId465" Type="http://schemas.openxmlformats.org/officeDocument/2006/relationships/revisionLog" Target="revisionLog118.xml"/><Relationship Id="rId486" Type="http://schemas.openxmlformats.org/officeDocument/2006/relationships/revisionLog" Target="revisionLog1132.xml"/><Relationship Id="rId388" Type="http://schemas.openxmlformats.org/officeDocument/2006/relationships/revisionLog" Target="revisionLog114111.xml"/><Relationship Id="rId367" Type="http://schemas.openxmlformats.org/officeDocument/2006/relationships/revisionLog" Target="revisionLog122.xml"/><Relationship Id="rId511" Type="http://schemas.openxmlformats.org/officeDocument/2006/relationships/revisionLog" Target="revisionLog11511.xml"/><Relationship Id="rId532" Type="http://schemas.openxmlformats.org/officeDocument/2006/relationships/revisionLog" Target="revisionLog119.xml"/><Relationship Id="rId553" Type="http://schemas.openxmlformats.org/officeDocument/2006/relationships/revisionLog" Target="revisionLog123.xml"/><Relationship Id="rId574" Type="http://schemas.openxmlformats.org/officeDocument/2006/relationships/revisionLog" Target="revisionLog14.xml"/><Relationship Id="rId383" Type="http://schemas.openxmlformats.org/officeDocument/2006/relationships/revisionLog" Target="revisionLog11321.xml"/><Relationship Id="rId413" Type="http://schemas.openxmlformats.org/officeDocument/2006/relationships/revisionLog" Target="revisionLog151111.xml"/><Relationship Id="rId418" Type="http://schemas.openxmlformats.org/officeDocument/2006/relationships/revisionLog" Target="revisionLog16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.xml"/><Relationship Id="rId595" Type="http://schemas.openxmlformats.org/officeDocument/2006/relationships/revisionLog" Target="revisionLog19.xml"/><Relationship Id="rId604" Type="http://schemas.openxmlformats.org/officeDocument/2006/relationships/revisionLog" Target="revisionLog1.xml"/><Relationship Id="rId434" Type="http://schemas.openxmlformats.org/officeDocument/2006/relationships/revisionLog" Target="revisionLog1121111.xml"/><Relationship Id="rId450" Type="http://schemas.openxmlformats.org/officeDocument/2006/relationships/revisionLog" Target="revisionLog1171.xml"/><Relationship Id="rId455" Type="http://schemas.openxmlformats.org/officeDocument/2006/relationships/revisionLog" Target="revisionLog1191.xml"/><Relationship Id="rId471" Type="http://schemas.openxmlformats.org/officeDocument/2006/relationships/revisionLog" Target="revisionLog124.xml"/><Relationship Id="rId476" Type="http://schemas.openxmlformats.org/officeDocument/2006/relationships/revisionLog" Target="revisionLog1712.xml"/><Relationship Id="rId497" Type="http://schemas.openxmlformats.org/officeDocument/2006/relationships/revisionLog" Target="revisionLog126.xml"/><Relationship Id="rId506" Type="http://schemas.openxmlformats.org/officeDocument/2006/relationships/revisionLog" Target="revisionLog115111.xml"/><Relationship Id="rId492" Type="http://schemas.openxmlformats.org/officeDocument/2006/relationships/revisionLog" Target="revisionLog1152.xml"/><Relationship Id="rId501" Type="http://schemas.openxmlformats.org/officeDocument/2006/relationships/revisionLog" Target="revisionLog1151111.xml"/><Relationship Id="rId522" Type="http://schemas.openxmlformats.org/officeDocument/2006/relationships/revisionLog" Target="revisionLog1192.xml"/><Relationship Id="rId527" Type="http://schemas.openxmlformats.org/officeDocument/2006/relationships/revisionLog" Target="revisionLog1201.xml"/><Relationship Id="rId543" Type="http://schemas.openxmlformats.org/officeDocument/2006/relationships/revisionLog" Target="revisionLog1231.xml"/><Relationship Id="rId548" Type="http://schemas.openxmlformats.org/officeDocument/2006/relationships/revisionLog" Target="revisionLog125.xml"/><Relationship Id="rId569" Type="http://schemas.openxmlformats.org/officeDocument/2006/relationships/revisionLog" Target="revisionLog142.xml"/><Relationship Id="rId408" Type="http://schemas.openxmlformats.org/officeDocument/2006/relationships/revisionLog" Target="revisionLog128.xml"/><Relationship Id="rId403" Type="http://schemas.openxmlformats.org/officeDocument/2006/relationships/revisionLog" Target="revisionLog127.xml"/><Relationship Id="rId399" Type="http://schemas.openxmlformats.org/officeDocument/2006/relationships/revisionLog" Target="revisionLog1133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78" Type="http://schemas.openxmlformats.org/officeDocument/2006/relationships/revisionLog" Target="revisionLog113211.xml"/><Relationship Id="rId394" Type="http://schemas.openxmlformats.org/officeDocument/2006/relationships/revisionLog" Target="revisionLog1183.xml"/><Relationship Id="rId564" Type="http://schemas.openxmlformats.org/officeDocument/2006/relationships/revisionLog" Target="revisionLog1321.xml"/><Relationship Id="rId580" Type="http://schemas.openxmlformats.org/officeDocument/2006/relationships/revisionLog" Target="revisionLog171.xml"/><Relationship Id="rId585" Type="http://schemas.openxmlformats.org/officeDocument/2006/relationships/revisionLog" Target="revisionLog191.xml"/><Relationship Id="rId424" Type="http://schemas.openxmlformats.org/officeDocument/2006/relationships/revisionLog" Target="revisionLog17121.xml"/><Relationship Id="rId440" Type="http://schemas.openxmlformats.org/officeDocument/2006/relationships/revisionLog" Target="revisionLog11711.xml"/><Relationship Id="rId445" Type="http://schemas.openxmlformats.org/officeDocument/2006/relationships/revisionLog" Target="revisionLog11911.xml"/><Relationship Id="rId466" Type="http://schemas.openxmlformats.org/officeDocument/2006/relationships/revisionLog" Target="revisionLog1251.xml"/><Relationship Id="rId487" Type="http://schemas.openxmlformats.org/officeDocument/2006/relationships/revisionLog" Target="revisionLog129.xml"/><Relationship Id="rId461" Type="http://schemas.openxmlformats.org/officeDocument/2006/relationships/revisionLog" Target="revisionLog1291.xml"/><Relationship Id="rId482" Type="http://schemas.openxmlformats.org/officeDocument/2006/relationships/revisionLog" Target="revisionLog11341.xml"/><Relationship Id="rId512" Type="http://schemas.openxmlformats.org/officeDocument/2006/relationships/revisionLog" Target="revisionLog12311.xml"/><Relationship Id="rId517" Type="http://schemas.openxmlformats.org/officeDocument/2006/relationships/revisionLog" Target="revisionLog1202.xml"/><Relationship Id="rId533" Type="http://schemas.openxmlformats.org/officeDocument/2006/relationships/revisionLog" Target="revisionLog13211.xml"/><Relationship Id="rId538" Type="http://schemas.openxmlformats.org/officeDocument/2006/relationships/revisionLog" Target="revisionLog133.xml"/><Relationship Id="rId559" Type="http://schemas.openxmlformats.org/officeDocument/2006/relationships/revisionLog" Target="revisionLog134.xml"/><Relationship Id="rId389" Type="http://schemas.openxmlformats.org/officeDocument/2006/relationships/revisionLog" Target="revisionLog1281.xml"/><Relationship Id="rId384" Type="http://schemas.openxmlformats.org/officeDocument/2006/relationships/revisionLog" Target="revisionLog1271.xml"/><Relationship Id="rId419" Type="http://schemas.openxmlformats.org/officeDocument/2006/relationships/revisionLog" Target="revisionLog1612.xml"/><Relationship Id="rId368" Type="http://schemas.openxmlformats.org/officeDocument/2006/relationships/revisionLog" Target="revisionLog1821.xml"/><Relationship Id="rId554" Type="http://schemas.openxmlformats.org/officeDocument/2006/relationships/revisionLog" Target="revisionLog130.xml"/><Relationship Id="rId570" Type="http://schemas.openxmlformats.org/officeDocument/2006/relationships/revisionLog" Target="revisionLog162.xml"/><Relationship Id="rId575" Type="http://schemas.openxmlformats.org/officeDocument/2006/relationships/revisionLog" Target="revisionLog192.xml"/><Relationship Id="rId591" Type="http://schemas.openxmlformats.org/officeDocument/2006/relationships/revisionLog" Target="revisionLog113.xml"/><Relationship Id="rId596" Type="http://schemas.openxmlformats.org/officeDocument/2006/relationships/revisionLog" Target="revisionLog114.xml"/><Relationship Id="rId414" Type="http://schemas.openxmlformats.org/officeDocument/2006/relationships/revisionLog" Target="revisionLog15111.xml"/><Relationship Id="rId430" Type="http://schemas.openxmlformats.org/officeDocument/2006/relationships/revisionLog" Target="revisionLog111111.xml"/><Relationship Id="rId435" Type="http://schemas.openxmlformats.org/officeDocument/2006/relationships/revisionLog" Target="revisionLog1921.xml"/><Relationship Id="rId456" Type="http://schemas.openxmlformats.org/officeDocument/2006/relationships/revisionLog" Target="revisionLog12411.xml"/><Relationship Id="rId477" Type="http://schemas.openxmlformats.org/officeDocument/2006/relationships/revisionLog" Target="revisionLog1102.xml"/><Relationship Id="rId498" Type="http://schemas.openxmlformats.org/officeDocument/2006/relationships/revisionLog" Target="revisionLog11513.xml"/><Relationship Id="rId600" Type="http://schemas.openxmlformats.org/officeDocument/2006/relationships/revisionLog" Target="revisionLog16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.xml"/><Relationship Id="rId493" Type="http://schemas.openxmlformats.org/officeDocument/2006/relationships/revisionLog" Target="revisionLog131111.xml"/><Relationship Id="rId502" Type="http://schemas.openxmlformats.org/officeDocument/2006/relationships/revisionLog" Target="revisionLog119211.xml"/><Relationship Id="rId507" Type="http://schemas.openxmlformats.org/officeDocument/2006/relationships/revisionLog" Target="revisionLog1341.xml"/><Relationship Id="rId523" Type="http://schemas.openxmlformats.org/officeDocument/2006/relationships/revisionLog" Target="revisionLog1322.xml"/><Relationship Id="rId528" Type="http://schemas.openxmlformats.org/officeDocument/2006/relationships/revisionLog" Target="revisionLog135.xml"/><Relationship Id="rId549" Type="http://schemas.openxmlformats.org/officeDocument/2006/relationships/revisionLog" Target="revisionLog1301.xml"/><Relationship Id="rId395" Type="http://schemas.openxmlformats.org/officeDocument/2006/relationships/revisionLog" Target="revisionLog12911.xml"/><Relationship Id="rId374" Type="http://schemas.openxmlformats.org/officeDocument/2006/relationships/revisionLog" Target="revisionLog12711.xml"/><Relationship Id="rId379" Type="http://schemas.openxmlformats.org/officeDocument/2006/relationships/revisionLog" Target="revisionLog12811.xml"/><Relationship Id="rId409" Type="http://schemas.openxmlformats.org/officeDocument/2006/relationships/revisionLog" Target="revisionLog132111.xml"/><Relationship Id="rId544" Type="http://schemas.openxmlformats.org/officeDocument/2006/relationships/revisionLog" Target="revisionLog13011.xml"/><Relationship Id="rId560" Type="http://schemas.openxmlformats.org/officeDocument/2006/relationships/revisionLog" Target="revisionLog1421.xml"/><Relationship Id="rId565" Type="http://schemas.openxmlformats.org/officeDocument/2006/relationships/revisionLog" Target="revisionLog1621.xml"/><Relationship Id="rId581" Type="http://schemas.openxmlformats.org/officeDocument/2006/relationships/revisionLog" Target="revisionLog1133.xml"/><Relationship Id="rId586" Type="http://schemas.openxmlformats.org/officeDocument/2006/relationships/revisionLog" Target="revisionLog1142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20" Type="http://schemas.openxmlformats.org/officeDocument/2006/relationships/revisionLog" Target="revisionLog16211.xml"/><Relationship Id="rId425" Type="http://schemas.openxmlformats.org/officeDocument/2006/relationships/revisionLog" Target="revisionLog172.xml"/><Relationship Id="rId446" Type="http://schemas.openxmlformats.org/officeDocument/2006/relationships/revisionLog" Target="revisionLog11021.xml"/><Relationship Id="rId467" Type="http://schemas.openxmlformats.org/officeDocument/2006/relationships/revisionLog" Target="revisionLog1122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.xml"/><Relationship Id="rId488" Type="http://schemas.openxmlformats.org/officeDocument/2006/relationships/revisionLog" Target="revisionLog1351.xml"/><Relationship Id="rId518" Type="http://schemas.openxmlformats.org/officeDocument/2006/relationships/revisionLog" Target="revisionLog12521.xml"/><Relationship Id="rId539" Type="http://schemas.openxmlformats.org/officeDocument/2006/relationships/revisionLog" Target="revisionLog136.xml"/><Relationship Id="rId369" Type="http://schemas.openxmlformats.org/officeDocument/2006/relationships/revisionLog" Target="revisionLog12111.xml"/><Relationship Id="rId513" Type="http://schemas.openxmlformats.org/officeDocument/2006/relationships/revisionLog" Target="revisionLog1361.xml"/><Relationship Id="rId534" Type="http://schemas.openxmlformats.org/officeDocument/2006/relationships/revisionLog" Target="revisionLog137.xml"/><Relationship Id="rId550" Type="http://schemas.openxmlformats.org/officeDocument/2006/relationships/revisionLog" Target="revisionLog138.xml"/><Relationship Id="rId555" Type="http://schemas.openxmlformats.org/officeDocument/2006/relationships/revisionLog" Target="revisionLog139.xml"/><Relationship Id="rId576" Type="http://schemas.openxmlformats.org/officeDocument/2006/relationships/revisionLog" Target="revisionLog1713.xml"/><Relationship Id="rId597" Type="http://schemas.openxmlformats.org/officeDocument/2006/relationships/revisionLog" Target="revisionLog116.xml"/><Relationship Id="rId385" Type="http://schemas.openxmlformats.org/officeDocument/2006/relationships/revisionLog" Target="revisionLog113311.xml"/><Relationship Id="rId380" Type="http://schemas.openxmlformats.org/officeDocument/2006/relationships/revisionLog" Target="revisionLog1105.xml"/><Relationship Id="rId415" Type="http://schemas.openxmlformats.org/officeDocument/2006/relationships/revisionLog" Target="revisionLog1511.xml"/><Relationship Id="rId436" Type="http://schemas.openxmlformats.org/officeDocument/2006/relationships/revisionLog" Target="revisionLog1922.xml"/><Relationship Id="rId457" Type="http://schemas.openxmlformats.org/officeDocument/2006/relationships/revisionLog" Target="revisionLog11521.xml"/><Relationship Id="rId571" Type="http://schemas.openxmlformats.org/officeDocument/2006/relationships/revisionLog" Target="revisionLog193.xml"/><Relationship Id="rId592" Type="http://schemas.openxmlformats.org/officeDocument/2006/relationships/revisionLog" Target="revisionLog1161.xml"/><Relationship Id="rId601" Type="http://schemas.openxmlformats.org/officeDocument/2006/relationships/revisionLog" Target="revisionLog117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78" Type="http://schemas.openxmlformats.org/officeDocument/2006/relationships/revisionLog" Target="revisionLog17131.xml"/><Relationship Id="rId494" Type="http://schemas.openxmlformats.org/officeDocument/2006/relationships/revisionLog" Target="revisionLog11531.xml"/><Relationship Id="rId499" Type="http://schemas.openxmlformats.org/officeDocument/2006/relationships/revisionLog" Target="revisionLog1361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.xml"/><Relationship Id="rId503" Type="http://schemas.openxmlformats.org/officeDocument/2006/relationships/revisionLog" Target="revisionLog1154.xml"/><Relationship Id="rId524" Type="http://schemas.openxmlformats.org/officeDocument/2006/relationships/revisionLog" Target="revisionLog13811.xml"/><Relationship Id="rId540" Type="http://schemas.openxmlformats.org/officeDocument/2006/relationships/revisionLog" Target="revisionLog1253.xml"/><Relationship Id="rId545" Type="http://schemas.openxmlformats.org/officeDocument/2006/relationships/revisionLog" Target="revisionLog1391.xml"/><Relationship Id="rId566" Type="http://schemas.openxmlformats.org/officeDocument/2006/relationships/revisionLog" Target="revisionLog140.xml"/><Relationship Id="rId587" Type="http://schemas.openxmlformats.org/officeDocument/2006/relationships/revisionLog" Target="revisionLog11611.xml"/><Relationship Id="rId405" Type="http://schemas.openxmlformats.org/officeDocument/2006/relationships/revisionLog" Target="revisionLog123111.xml"/><Relationship Id="rId396" Type="http://schemas.openxmlformats.org/officeDocument/2006/relationships/revisionLog" Target="revisionLog1181.xml"/><Relationship Id="rId370" Type="http://schemas.openxmlformats.org/officeDocument/2006/relationships/revisionLog" Target="revisionLog182.xml"/><Relationship Id="rId375" Type="http://schemas.openxmlformats.org/officeDocument/2006/relationships/revisionLog" Target="revisionLog110111.xml"/><Relationship Id="rId391" Type="http://schemas.openxmlformats.org/officeDocument/2006/relationships/revisionLog" Target="revisionLog1162.xml"/><Relationship Id="rId426" Type="http://schemas.openxmlformats.org/officeDocument/2006/relationships/revisionLog" Target="revisionLog19111.xml"/><Relationship Id="rId447" Type="http://schemas.openxmlformats.org/officeDocument/2006/relationships/revisionLog" Target="revisionLog115112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.xml"/><Relationship Id="rId400" Type="http://schemas.openxmlformats.org/officeDocument/2006/relationships/revisionLog" Target="revisionLog11332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.xml"/><Relationship Id="rId468" Type="http://schemas.openxmlformats.org/officeDocument/2006/relationships/revisionLog" Target="revisionLog13221.xml"/><Relationship Id="rId484" Type="http://schemas.openxmlformats.org/officeDocument/2006/relationships/revisionLog" Target="revisionLog1134.xml"/><Relationship Id="rId489" Type="http://schemas.openxmlformats.org/officeDocument/2006/relationships/revisionLog" Target="revisionLog125211.xml"/><Relationship Id="rId519" Type="http://schemas.openxmlformats.org/officeDocument/2006/relationships/revisionLog" Target="revisionLog138111.xml"/><Relationship Id="rId514" Type="http://schemas.openxmlformats.org/officeDocument/2006/relationships/revisionLog" Target="revisionLog1193.xml"/><Relationship Id="rId530" Type="http://schemas.openxmlformats.org/officeDocument/2006/relationships/revisionLog" Target="revisionLog13911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.xml"/><Relationship Id="rId577" Type="http://schemas.openxmlformats.org/officeDocument/2006/relationships/revisionLog" Target="revisionLog1135.xml"/><Relationship Id="rId381" Type="http://schemas.openxmlformats.org/officeDocument/2006/relationships/revisionLog" Target="revisionLog1141111.xml"/><Relationship Id="rId386" Type="http://schemas.openxmlformats.org/officeDocument/2006/relationships/revisionLog" Target="revisionLog1261.xml"/><Relationship Id="rId416" Type="http://schemas.openxmlformats.org/officeDocument/2006/relationships/revisionLog" Target="revisionLog1512.xml"/><Relationship Id="rId551" Type="http://schemas.openxmlformats.org/officeDocument/2006/relationships/revisionLog" Target="revisionLog142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.xml"/><Relationship Id="rId598" Type="http://schemas.openxmlformats.org/officeDocument/2006/relationships/revisionLog" Target="revisionLog1172.xml"/><Relationship Id="rId602" Type="http://schemas.openxmlformats.org/officeDocument/2006/relationships/revisionLog" Target="revisionLog120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.xml"/><Relationship Id="rId437" Type="http://schemas.openxmlformats.org/officeDocument/2006/relationships/revisionLog" Target="revisionLog11511111.xml"/><Relationship Id="rId453" Type="http://schemas.openxmlformats.org/officeDocument/2006/relationships/revisionLog" Target="revisionLog12011.xml"/><Relationship Id="rId458" Type="http://schemas.openxmlformats.org/officeDocument/2006/relationships/revisionLog" Target="revisionLog1241.xml"/><Relationship Id="rId474" Type="http://schemas.openxmlformats.org/officeDocument/2006/relationships/revisionLog" Target="revisionLog1613.xml"/><Relationship Id="rId479" Type="http://schemas.openxmlformats.org/officeDocument/2006/relationships/revisionLog" Target="revisionLog11013.xml"/><Relationship Id="rId509" Type="http://schemas.openxmlformats.org/officeDocument/2006/relationships/revisionLog" Target="revisionLog11921.xml"/><Relationship Id="rId490" Type="http://schemas.openxmlformats.org/officeDocument/2006/relationships/revisionLog" Target="revisionLog1302.xml"/><Relationship Id="rId495" Type="http://schemas.openxmlformats.org/officeDocument/2006/relationships/revisionLog" Target="revisionLog13111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.xml"/><Relationship Id="rId567" Type="http://schemas.openxmlformats.org/officeDocument/2006/relationships/revisionLog" Target="revisionLog1431.xml"/><Relationship Id="rId406" Type="http://schemas.openxmlformats.org/officeDocument/2006/relationships/revisionLog" Target="revisionLog13012.xml"/><Relationship Id="rId397" Type="http://schemas.openxmlformats.org/officeDocument/2006/relationships/revisionLog" Target="revisionLog1292.xml"/><Relationship Id="rId376" Type="http://schemas.openxmlformats.org/officeDocument/2006/relationships/revisionLog" Target="revisionLog1132111.xml"/><Relationship Id="rId371" Type="http://schemas.openxmlformats.org/officeDocument/2006/relationships/revisionLog" Target="revisionLog110121.xml"/><Relationship Id="rId520" Type="http://schemas.openxmlformats.org/officeDocument/2006/relationships/revisionLog" Target="revisionLog12522.xml"/><Relationship Id="rId541" Type="http://schemas.openxmlformats.org/officeDocument/2006/relationships/revisionLog" Target="revisionLog1254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.xml"/><Relationship Id="rId588" Type="http://schemas.openxmlformats.org/officeDocument/2006/relationships/revisionLog" Target="revisionLog144.xml"/><Relationship Id="rId401" Type="http://schemas.openxmlformats.org/officeDocument/2006/relationships/revisionLog" Target="revisionLog130111.xml"/><Relationship Id="rId392" Type="http://schemas.openxmlformats.org/officeDocument/2006/relationships/revisionLog" Target="revisionLog11831.xml"/><Relationship Id="rId422" Type="http://schemas.openxmlformats.org/officeDocument/2006/relationships/revisionLog" Target="revisionLog17111.xml"/><Relationship Id="rId427" Type="http://schemas.openxmlformats.org/officeDocument/2006/relationships/revisionLog" Target="revisionLog1911.xml"/><Relationship Id="rId443" Type="http://schemas.openxmlformats.org/officeDocument/2006/relationships/revisionLog" Target="revisionLog11212.xml"/><Relationship Id="rId448" Type="http://schemas.openxmlformats.org/officeDocument/2006/relationships/revisionLog" Target="revisionLog11512.xml"/><Relationship Id="rId464" Type="http://schemas.openxmlformats.org/officeDocument/2006/relationships/revisionLog" Target="revisionLog12511.xml"/><Relationship Id="rId469" Type="http://schemas.openxmlformats.org/officeDocument/2006/relationships/revisionLog" Target="revisionLog13212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557" Type="http://schemas.openxmlformats.org/officeDocument/2006/relationships/revisionLog" Target="revisionLog163.xml"/><Relationship Id="rId578" Type="http://schemas.openxmlformats.org/officeDocument/2006/relationships/revisionLog" Target="revisionLog114211.xml"/><Relationship Id="rId599" Type="http://schemas.openxmlformats.org/officeDocument/2006/relationships/revisionLog" Target="revisionLog145.xml"/><Relationship Id="rId382" Type="http://schemas.openxmlformats.org/officeDocument/2006/relationships/revisionLog" Target="revisionLog1211.xml"/><Relationship Id="rId417" Type="http://schemas.openxmlformats.org/officeDocument/2006/relationships/revisionLog" Target="revisionLog151.xml"/><Relationship Id="rId438" Type="http://schemas.openxmlformats.org/officeDocument/2006/relationships/revisionLog" Target="revisionLog193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.xml"/><Relationship Id="rId470" Type="http://schemas.openxmlformats.org/officeDocument/2006/relationships/revisionLog" Target="revisionLog1311.xml"/><Relationship Id="rId491" Type="http://schemas.openxmlformats.org/officeDocument/2006/relationships/revisionLog" Target="revisionLog173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.xml"/><Relationship Id="rId407" Type="http://schemas.openxmlformats.org/officeDocument/2006/relationships/revisionLog" Target="revisionLog116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460" Type="http://schemas.openxmlformats.org/officeDocument/2006/relationships/revisionLog" Target="revisionLog11721.xml"/><Relationship Id="rId481" Type="http://schemas.openxmlformats.org/officeDocument/2006/relationships/revisionLog" Target="revisionLog1101.xml"/><Relationship Id="rId516" Type="http://schemas.openxmlformats.org/officeDocument/2006/relationships/revisionLog" Target="revisionLog1151.xml"/><Relationship Id="rId537" Type="http://schemas.openxmlformats.org/officeDocument/2006/relationships/revisionLog" Target="revisionLog1203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.xml"/></Relationships>
</file>

<file path=xl/revisions/revisionHeaders.xml><?xml version="1.0" encoding="utf-8"?>
<headers xmlns="http://schemas.openxmlformats.org/spreadsheetml/2006/main" xmlns:r="http://schemas.openxmlformats.org/officeDocument/2006/relationships" guid="{C3A54AAB-AA06-4F84-97E7-7473AAF37281}" diskRevisions="1" revisionId="24061" version="334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userNames.xml><?xml version="1.0" encoding="utf-8"?>
<users xmlns="http://schemas.openxmlformats.org/spreadsheetml/2006/main" xmlns:r="http://schemas.openxmlformats.org/officeDocument/2006/relationships" count="7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tabSelected="1" view="pageBreakPreview" topLeftCell="A19" zoomScale="80" zoomScaleNormal="100" zoomScaleSheetLayoutView="80" workbookViewId="0">
      <selection activeCell="I14" sqref="I14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483" t="s">
        <v>432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123"/>
      <c r="M1" s="123"/>
      <c r="N1" s="123"/>
      <c r="O1" s="123"/>
    </row>
    <row r="2" spans="1:15" ht="33.75" customHeight="1">
      <c r="A2" s="481" t="s">
        <v>177</v>
      </c>
      <c r="B2" s="482" t="s">
        <v>178</v>
      </c>
      <c r="C2" s="478" t="s">
        <v>179</v>
      </c>
      <c r="D2" s="479"/>
      <c r="E2" s="479"/>
      <c r="F2" s="478" t="s">
        <v>180</v>
      </c>
      <c r="G2" s="479"/>
      <c r="H2" s="479"/>
      <c r="I2" s="478" t="s">
        <v>181</v>
      </c>
      <c r="J2" s="479"/>
      <c r="K2" s="484"/>
    </row>
    <row r="3" spans="1:15" ht="53.25" customHeight="1">
      <c r="A3" s="481"/>
      <c r="B3" s="482"/>
      <c r="C3" s="78" t="s">
        <v>404</v>
      </c>
      <c r="D3" s="78" t="s">
        <v>413</v>
      </c>
      <c r="E3" s="138" t="s">
        <v>316</v>
      </c>
      <c r="F3" s="78" t="s">
        <v>404</v>
      </c>
      <c r="G3" s="78" t="s">
        <v>413</v>
      </c>
      <c r="H3" s="138" t="s">
        <v>316</v>
      </c>
      <c r="I3" s="78" t="s">
        <v>404</v>
      </c>
      <c r="J3" s="78" t="s">
        <v>413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185580.00869000002</v>
      </c>
      <c r="D4" s="201">
        <f>SUM(D5:D13)</f>
        <v>37573.96241</v>
      </c>
      <c r="E4" s="201">
        <f>D4/C4*100</f>
        <v>20.246772632048419</v>
      </c>
      <c r="F4" s="201">
        <f>SUM(F5:F13)</f>
        <v>147500</v>
      </c>
      <c r="G4" s="201">
        <f>SUM(G5:G13)</f>
        <v>31386.518749999999</v>
      </c>
      <c r="H4" s="201">
        <f>G4/F4*100</f>
        <v>21.278995762711865</v>
      </c>
      <c r="I4" s="201">
        <f>I5+I7+I6+I8+I10+I11+I12+I13</f>
        <v>38080.008690000002</v>
      </c>
      <c r="J4" s="201">
        <f>J5+J6+J7+J8+J10+J11+J12+J13</f>
        <v>6187.4436600000008</v>
      </c>
      <c r="K4" s="201">
        <f>J4/I4*100</f>
        <v>16.248535315132042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129527</v>
      </c>
      <c r="D5" s="202">
        <f t="shared" ref="D5:D13" si="1">G5+J5</f>
        <v>27520.079239999999</v>
      </c>
      <c r="E5" s="203">
        <f t="shared" ref="E5:E12" si="2">D5/C5*100</f>
        <v>21.246596647803159</v>
      </c>
      <c r="F5" s="202">
        <f>район!C5</f>
        <v>123798.5</v>
      </c>
      <c r="G5" s="202">
        <f>район!D5</f>
        <v>26258.208279999999</v>
      </c>
      <c r="H5" s="203">
        <f t="shared" ref="H5:H41" si="3">G5/F5*100</f>
        <v>21.210441386608075</v>
      </c>
      <c r="I5" s="202">
        <f>Справка!I31</f>
        <v>5728.5</v>
      </c>
      <c r="J5" s="202">
        <f>Справка!J31</f>
        <v>1261.8709600000002</v>
      </c>
      <c r="K5" s="203">
        <f t="shared" ref="K5:K12" si="4">J5/I5*100</f>
        <v>22.027947281138172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3388.9464400000002</v>
      </c>
      <c r="E6" s="203">
        <f t="shared" si="2"/>
        <v>23.142692352342646</v>
      </c>
      <c r="F6" s="202">
        <f>район!C7</f>
        <v>5337</v>
      </c>
      <c r="G6" s="202">
        <f>район!D7</f>
        <v>1235.1245699999999</v>
      </c>
      <c r="H6" s="203">
        <f t="shared" si="3"/>
        <v>23.142675098369871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2153.8218700000002</v>
      </c>
      <c r="K6" s="203">
        <f t="shared" si="4"/>
        <v>23.142702246768462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2401.99442</v>
      </c>
      <c r="E7" s="203">
        <f t="shared" si="2"/>
        <v>18.766314465408804</v>
      </c>
      <c r="F7" s="202">
        <f>район!C12</f>
        <v>12264.5</v>
      </c>
      <c r="G7" s="202">
        <f>район!D12</f>
        <v>2180.8487700000001</v>
      </c>
      <c r="H7" s="203">
        <f t="shared" si="3"/>
        <v>17.78179925802112</v>
      </c>
      <c r="I7" s="202">
        <f>Справка!X31</f>
        <v>535</v>
      </c>
      <c r="J7" s="202">
        <f>Справка!Y31</f>
        <v>221.14564999999996</v>
      </c>
      <c r="K7" s="203">
        <f t="shared" si="4"/>
        <v>41.335635514018684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591.49522999999999</v>
      </c>
      <c r="E8" s="203">
        <f t="shared" si="2"/>
        <v>11.008658663688815</v>
      </c>
      <c r="F8" s="202"/>
      <c r="G8" s="202"/>
      <c r="H8" s="203"/>
      <c r="I8" s="202">
        <f>Справка!AA31</f>
        <v>5373</v>
      </c>
      <c r="J8" s="202">
        <f>Справка!AB31</f>
        <v>591.49522999999999</v>
      </c>
      <c r="K8" s="203">
        <f t="shared" si="4"/>
        <v>11.008658663688815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259.87506000000002</v>
      </c>
      <c r="E9" s="203">
        <f t="shared" si="2"/>
        <v>11.298915652173914</v>
      </c>
      <c r="F9" s="202">
        <f>район!C17</f>
        <v>2300</v>
      </c>
      <c r="G9" s="202">
        <f>район!D20</f>
        <v>259.87506000000002</v>
      </c>
      <c r="H9" s="203">
        <f t="shared" si="3"/>
        <v>11.298915652173914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1938.60995</v>
      </c>
      <c r="E10" s="203">
        <f t="shared" si="2"/>
        <v>11.389646551511765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1938.60995</v>
      </c>
      <c r="K10" s="203">
        <f t="shared" si="4"/>
        <v>11.389646551511765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516.72473000000002</v>
      </c>
      <c r="E11" s="203">
        <f t="shared" si="2"/>
        <v>46.974975454545458</v>
      </c>
      <c r="F11" s="202">
        <f>район!C22</f>
        <v>1100</v>
      </c>
      <c r="G11" s="202">
        <f>район!D22</f>
        <v>516.72473000000002</v>
      </c>
      <c r="H11" s="203">
        <f t="shared" si="3"/>
        <v>46.974975454545458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956.23734000000002</v>
      </c>
      <c r="E12" s="203">
        <f t="shared" si="2"/>
        <v>33.957291903409093</v>
      </c>
      <c r="F12" s="202">
        <f>район!C24</f>
        <v>2700</v>
      </c>
      <c r="G12" s="202">
        <f>район!D24</f>
        <v>935.73734000000002</v>
      </c>
      <c r="H12" s="203">
        <f t="shared" si="3"/>
        <v>34.656938518518523</v>
      </c>
      <c r="I12" s="202">
        <f>Справка!AG31</f>
        <v>116</v>
      </c>
      <c r="J12" s="202">
        <f>Справка!AH31</f>
        <v>20.499999999999996</v>
      </c>
      <c r="K12" s="203">
        <f t="shared" si="4"/>
        <v>17.672413793103445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</v>
      </c>
      <c r="E13" s="203"/>
      <c r="F13" s="202">
        <f>район!C28</f>
        <v>0</v>
      </c>
      <c r="G13" s="202">
        <f>район!D28</f>
        <v>0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24746.553</v>
      </c>
      <c r="D14" s="201">
        <f>SUM(D15:D21)</f>
        <v>4543.0043500000002</v>
      </c>
      <c r="E14" s="201">
        <f t="shared" ref="E14:E39" si="5">D14/C14*100</f>
        <v>18.358129918134459</v>
      </c>
      <c r="F14" s="201">
        <f>F15+F16+F17+F18+F20+F21+F19</f>
        <v>20634</v>
      </c>
      <c r="G14" s="201">
        <f>G15+G16+G17+G18+G20+G21+G19</f>
        <v>3258.0235100000004</v>
      </c>
      <c r="H14" s="201">
        <f t="shared" si="3"/>
        <v>15.789587622370846</v>
      </c>
      <c r="I14" s="204">
        <f>I15+I16+I17+I18+I20+I21+I26</f>
        <v>4112.5529999999999</v>
      </c>
      <c r="J14" s="204">
        <f>J15+J16+J17+J18+J20+J21+J26</f>
        <v>1284.9808399999997</v>
      </c>
      <c r="K14" s="201">
        <f>J14/I14*100</f>
        <v>31.245332035842448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13180.553</v>
      </c>
      <c r="D15" s="202">
        <f t="shared" si="6"/>
        <v>3232.37012</v>
      </c>
      <c r="E15" s="202">
        <f t="shared" si="5"/>
        <v>24.523782272261265</v>
      </c>
      <c r="F15" s="202">
        <f>район!C34</f>
        <v>9900</v>
      </c>
      <c r="G15" s="202">
        <f>район!D34</f>
        <v>2299.4169900000002</v>
      </c>
      <c r="H15" s="202">
        <f t="shared" si="3"/>
        <v>23.226434242424244</v>
      </c>
      <c r="I15" s="202">
        <f>Справка!AP31+Справка!AS31+Справка!AM31</f>
        <v>3280.5529999999999</v>
      </c>
      <c r="J15" s="202">
        <f>Справка!AQ31+Справка!AT31+Справка!AN31</f>
        <v>932.95312999999987</v>
      </c>
      <c r="K15" s="203">
        <f>J15/I15*100</f>
        <v>28.438898258921586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204.95993000000001</v>
      </c>
      <c r="E16" s="202">
        <f t="shared" si="5"/>
        <v>37.26544181818182</v>
      </c>
      <c r="F16" s="202">
        <f>район!C43</f>
        <v>550</v>
      </c>
      <c r="G16" s="202">
        <f>район!D43</f>
        <v>204.95993000000001</v>
      </c>
      <c r="H16" s="202">
        <f t="shared" si="3"/>
        <v>37.26544181818182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183.64371</v>
      </c>
      <c r="E17" s="202">
        <f>D17/C17*100</f>
        <v>25.901792665726376</v>
      </c>
      <c r="F17" s="202">
        <f>район!C45</f>
        <v>84</v>
      </c>
      <c r="G17" s="202">
        <f>район!D45</f>
        <v>0</v>
      </c>
      <c r="H17" s="202">
        <f t="shared" si="3"/>
        <v>0</v>
      </c>
      <c r="I17" s="202">
        <f>Справка!AY31</f>
        <v>625</v>
      </c>
      <c r="J17" s="202">
        <f>Справка!AZ31</f>
        <v>183.64371</v>
      </c>
      <c r="K17" s="203">
        <f>J17/I17*100</f>
        <v>29.382993600000002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222.53273999999999</v>
      </c>
      <c r="E18" s="202">
        <f t="shared" si="5"/>
        <v>4.7276978967495218</v>
      </c>
      <c r="F18" s="202">
        <f>район!C48</f>
        <v>4500</v>
      </c>
      <c r="G18" s="202">
        <f>район!D48</f>
        <v>72.722740000000002</v>
      </c>
      <c r="H18" s="202">
        <f t="shared" si="3"/>
        <v>1.616060888888889</v>
      </c>
      <c r="I18" s="202">
        <f>Справка!BE31</f>
        <v>207</v>
      </c>
      <c r="J18" s="202">
        <f>Справка!BF31</f>
        <v>149.80999999999997</v>
      </c>
      <c r="K18" s="203">
        <f>J18/I18*100</f>
        <v>72.371980676328491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683.25341000000003</v>
      </c>
      <c r="E20" s="202">
        <f t="shared" si="5"/>
        <v>12.20095375</v>
      </c>
      <c r="F20" s="202">
        <f>район!C53</f>
        <v>5600</v>
      </c>
      <c r="G20" s="202">
        <f>район!D53</f>
        <v>680.92385000000002</v>
      </c>
      <c r="H20" s="202">
        <f t="shared" si="3"/>
        <v>12.159354464285714</v>
      </c>
      <c r="I20" s="202">
        <f>Справка!BN31</f>
        <v>0</v>
      </c>
      <c r="J20" s="202">
        <f>Справка!BO31</f>
        <v>2.3295599999999999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16.244440000000001</v>
      </c>
      <c r="E21" s="202"/>
      <c r="F21" s="202">
        <f>район!C57</f>
        <v>0</v>
      </c>
      <c r="G21" s="202">
        <f>район!D57</f>
        <v>0</v>
      </c>
      <c r="H21" s="202"/>
      <c r="I21" s="202">
        <f>Справка!BQ31</f>
        <v>0</v>
      </c>
      <c r="J21" s="202">
        <f>Справка!BR31</f>
        <v>16.244440000000001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3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210326.56169</v>
      </c>
      <c r="D23" s="204">
        <f>SUM(D4,D14,)</f>
        <v>42116.966760000003</v>
      </c>
      <c r="E23" s="201">
        <f t="shared" si="5"/>
        <v>20.024559152959547</v>
      </c>
      <c r="F23" s="204">
        <f>SUM(F4,F14,)</f>
        <v>168134</v>
      </c>
      <c r="G23" s="204">
        <f>SUM(G4,G14,G22)</f>
        <v>34644.542260000002</v>
      </c>
      <c r="H23" s="201">
        <f t="shared" si="3"/>
        <v>20.605316152592575</v>
      </c>
      <c r="I23" s="204">
        <f>I4+I14</f>
        <v>42192.561690000002</v>
      </c>
      <c r="J23" s="204">
        <f>J4+J14</f>
        <v>7472.424500000001</v>
      </c>
      <c r="K23" s="201">
        <f>J23/I23*100</f>
        <v>17.710288735018974</v>
      </c>
    </row>
    <row r="24" spans="1:13" ht="32.25" customHeight="1">
      <c r="A24" s="79" t="s">
        <v>196</v>
      </c>
      <c r="B24" s="76">
        <v>20200</v>
      </c>
      <c r="C24" s="205">
        <v>691575.91272000002</v>
      </c>
      <c r="D24" s="205">
        <v>51655.960700000003</v>
      </c>
      <c r="E24" s="204">
        <f t="shared" si="5"/>
        <v>7.4693117197842716</v>
      </c>
      <c r="F24" s="204">
        <f>район!C61</f>
        <v>713558.09183000016</v>
      </c>
      <c r="G24" s="204">
        <f>SUM(район!D61)</f>
        <v>55560.563669999996</v>
      </c>
      <c r="H24" s="201">
        <f t="shared" si="3"/>
        <v>7.7864107079927676</v>
      </c>
      <c r="I24" s="204">
        <f>Справка!BZ31</f>
        <v>150536.44257000001</v>
      </c>
      <c r="J24" s="204">
        <f>Справка!CA31</f>
        <v>11435.106529999997</v>
      </c>
      <c r="K24" s="201">
        <f t="shared" ref="K24:K38" si="8">J24/I24*100</f>
        <v>7.596238050253266</v>
      </c>
    </row>
    <row r="25" spans="1:13" ht="33" customHeight="1">
      <c r="A25" s="79" t="s">
        <v>288</v>
      </c>
      <c r="B25" s="76">
        <v>20700</v>
      </c>
      <c r="C25" s="206">
        <f>F25+I25</f>
        <v>2924.82089</v>
      </c>
      <c r="D25" s="206">
        <f>G25+J25</f>
        <v>1698.0390299999999</v>
      </c>
      <c r="E25" s="204">
        <f t="shared" si="5"/>
        <v>58.05617143277447</v>
      </c>
      <c r="F25" s="204"/>
      <c r="G25" s="204"/>
      <c r="H25" s="201"/>
      <c r="I25" s="204">
        <f>Справка!CR31</f>
        <v>2924.82089</v>
      </c>
      <c r="J25" s="204">
        <f>Справка!CS31</f>
        <v>1698.0390299999999</v>
      </c>
      <c r="K25" s="201">
        <f t="shared" si="8"/>
        <v>58.05617143277447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-52617.294300000001</v>
      </c>
      <c r="E26" s="204"/>
      <c r="F26" s="203">
        <f>район!C69</f>
        <v>-52617.294300000001</v>
      </c>
      <c r="G26" s="203">
        <f>район!D69</f>
        <v>-52617.294300000001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901902.47441000002</v>
      </c>
      <c r="D27" s="457">
        <f>D24+D23</f>
        <v>93772.927460000006</v>
      </c>
      <c r="E27" s="208">
        <f t="shared" si="5"/>
        <v>10.397235856498087</v>
      </c>
      <c r="F27" s="457">
        <f>F24+F23</f>
        <v>881692.09183000016</v>
      </c>
      <c r="G27" s="208">
        <f>G24+G23</f>
        <v>90205.105929999991</v>
      </c>
      <c r="H27" s="208">
        <f t="shared" si="3"/>
        <v>10.230907906043974</v>
      </c>
      <c r="I27" s="208">
        <f>I24+I23</f>
        <v>192729.00426000002</v>
      </c>
      <c r="J27" s="208">
        <f>J24+J23</f>
        <v>18907.531029999998</v>
      </c>
      <c r="K27" s="207">
        <f t="shared" si="8"/>
        <v>9.8104232430386524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971524.20848000015</v>
      </c>
      <c r="D28" s="208">
        <f>SUM(D29:D41)</f>
        <v>146495.54652999999</v>
      </c>
      <c r="E28" s="208">
        <f t="shared" si="5"/>
        <v>15.078939387336506</v>
      </c>
      <c r="F28" s="208">
        <f>SUM(F29+F30+F31+F32+F33+F34+F35+F36+F37+F38+F39+F40+F41)</f>
        <v>944838.73674999992</v>
      </c>
      <c r="G28" s="208">
        <f>SUM(G29:G41)</f>
        <v>145841.57090999998</v>
      </c>
      <c r="H28" s="208">
        <f t="shared" si="3"/>
        <v>15.435604536246803</v>
      </c>
      <c r="I28" s="208">
        <f>I29+I30+I31+I32+I33+I34+I35+I36+I37+I38+I39+I40+I41</f>
        <v>199204.09340999997</v>
      </c>
      <c r="J28" s="208">
        <f>J29+J30+J31+J32+J33+J34+J35+J36+J37+J38+J39+J40+J41</f>
        <v>15993.68612</v>
      </c>
      <c r="K28" s="207">
        <f t="shared" si="8"/>
        <v>8.0287939099132615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73951.549119999996</v>
      </c>
      <c r="D29" s="258">
        <f>G29+J29</f>
        <v>14354.74617</v>
      </c>
      <c r="E29" s="210">
        <f t="shared" si="5"/>
        <v>19.411014834465178</v>
      </c>
      <c r="F29" s="202">
        <f>район!C76</f>
        <v>50037.126120000001</v>
      </c>
      <c r="G29" s="210">
        <f>район!D76</f>
        <v>9948.4592400000001</v>
      </c>
      <c r="H29" s="211">
        <f t="shared" si="3"/>
        <v>19.882155534155604</v>
      </c>
      <c r="I29" s="211">
        <f>Справка!DJ31</f>
        <v>23914.422999999999</v>
      </c>
      <c r="J29" s="211">
        <f>Справка!DK31</f>
        <v>4406.2869300000002</v>
      </c>
      <c r="K29" s="211">
        <f t="shared" si="8"/>
        <v>18.42522786353658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413.91275999999999</v>
      </c>
      <c r="E30" s="210">
        <f t="shared" si="5"/>
        <v>19.090155889678069</v>
      </c>
      <c r="F30" s="202">
        <f>район!C84</f>
        <v>2168.1999999999998</v>
      </c>
      <c r="G30" s="210">
        <f>район!D84</f>
        <v>537.6</v>
      </c>
      <c r="H30" s="211">
        <f t="shared" si="3"/>
        <v>24.794760630938111</v>
      </c>
      <c r="I30" s="211">
        <f>Справка!DY31</f>
        <v>2168.2000000000003</v>
      </c>
      <c r="J30" s="211">
        <f>Справка!DZ31</f>
        <v>413.91275999999999</v>
      </c>
      <c r="K30" s="211">
        <f t="shared" si="8"/>
        <v>19.090155889678069</v>
      </c>
    </row>
    <row r="31" spans="1:13" ht="33" customHeight="1">
      <c r="A31" s="81" t="s">
        <v>201</v>
      </c>
      <c r="B31" s="82" t="s">
        <v>47</v>
      </c>
      <c r="C31" s="258">
        <f>F31+I31</f>
        <v>4569.6000000000004</v>
      </c>
      <c r="D31" s="258">
        <f>G31+J31</f>
        <v>900.3981</v>
      </c>
      <c r="E31" s="210">
        <f t="shared" si="5"/>
        <v>19.704090073529411</v>
      </c>
      <c r="F31" s="202">
        <f>район!C86</f>
        <v>4301.6000000000004</v>
      </c>
      <c r="G31" s="210">
        <f>район!D86</f>
        <v>890.99810000000002</v>
      </c>
      <c r="H31" s="211">
        <f t="shared" si="3"/>
        <v>20.713178817184303</v>
      </c>
      <c r="I31" s="211">
        <f>Справка!EB31</f>
        <v>268</v>
      </c>
      <c r="J31" s="211">
        <f>Справка!EC31</f>
        <v>9.4</v>
      </c>
      <c r="K31" s="211">
        <f t="shared" si="8"/>
        <v>3.5074626865671643</v>
      </c>
    </row>
    <row r="32" spans="1:13" ht="30" customHeight="1">
      <c r="A32" s="81" t="s">
        <v>202</v>
      </c>
      <c r="B32" s="82" t="s">
        <v>55</v>
      </c>
      <c r="C32" s="209">
        <v>144770.01444</v>
      </c>
      <c r="D32" s="209">
        <v>9766.8146400000005</v>
      </c>
      <c r="E32" s="210">
        <f t="shared" si="5"/>
        <v>6.7464348040442186</v>
      </c>
      <c r="F32" s="202">
        <f>район!C92</f>
        <v>102861.75794999998</v>
      </c>
      <c r="G32" s="210">
        <f>район!D92</f>
        <v>8207.5835399999996</v>
      </c>
      <c r="H32" s="211">
        <f t="shared" si="3"/>
        <v>7.9792370882768884</v>
      </c>
      <c r="I32" s="211">
        <f>Справка!EE31</f>
        <v>69260.656489999994</v>
      </c>
      <c r="J32" s="211">
        <f>Справка!EF31</f>
        <v>3381.8230999999996</v>
      </c>
      <c r="K32" s="211">
        <f t="shared" si="8"/>
        <v>4.8827476830056824</v>
      </c>
    </row>
    <row r="33" spans="1:12" ht="30" customHeight="1">
      <c r="A33" s="81" t="s">
        <v>203</v>
      </c>
      <c r="B33" s="82" t="s">
        <v>65</v>
      </c>
      <c r="C33" s="209">
        <v>77964.648719999997</v>
      </c>
      <c r="D33" s="209">
        <v>1689.3918799999999</v>
      </c>
      <c r="E33" s="210">
        <f t="shared" si="5"/>
        <v>2.166869097386988</v>
      </c>
      <c r="F33" s="202">
        <f>район!C99</f>
        <v>64177.359530000002</v>
      </c>
      <c r="G33" s="210">
        <f>район!D99</f>
        <v>92.173199999999994</v>
      </c>
      <c r="H33" s="211">
        <f t="shared" si="3"/>
        <v>0.14362261189152417</v>
      </c>
      <c r="I33" s="211">
        <f>Справка!EH31</f>
        <v>61143.470219999996</v>
      </c>
      <c r="J33" s="211">
        <f>Справка!EI31</f>
        <v>1597.2186799999999</v>
      </c>
      <c r="K33" s="211">
        <f t="shared" si="8"/>
        <v>2.612247349149559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0</v>
      </c>
      <c r="E34" s="210">
        <f t="shared" si="5"/>
        <v>0</v>
      </c>
      <c r="F34" s="202">
        <f>район!C103</f>
        <v>50</v>
      </c>
      <c r="G34" s="210">
        <f>район!D103</f>
        <v>0</v>
      </c>
      <c r="H34" s="211">
        <f t="shared" si="3"/>
        <v>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510895.3321</v>
      </c>
      <c r="D35" s="206">
        <f>G35</f>
        <v>105650.44856</v>
      </c>
      <c r="E35" s="210">
        <f t="shared" si="5"/>
        <v>20.679470318456644</v>
      </c>
      <c r="F35" s="202">
        <f>район!C105</f>
        <v>510895.3321</v>
      </c>
      <c r="G35" s="210">
        <f>район!D105</f>
        <v>105650.44856</v>
      </c>
      <c r="H35" s="211">
        <f t="shared" si="3"/>
        <v>20.679470318456644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78858.852989999999</v>
      </c>
      <c r="D36" s="209">
        <v>10049.38227</v>
      </c>
      <c r="E36" s="210">
        <f t="shared" si="5"/>
        <v>12.743505502513905</v>
      </c>
      <c r="F36" s="202">
        <f>район!C111</f>
        <v>76876.346990000005</v>
      </c>
      <c r="G36" s="210">
        <f>район!D111</f>
        <v>9516.2466199999999</v>
      </c>
      <c r="H36" s="211">
        <f t="shared" si="3"/>
        <v>12.37864049554522</v>
      </c>
      <c r="I36" s="211">
        <f>Справка!EK31</f>
        <v>42278.3197</v>
      </c>
      <c r="J36" s="211">
        <f>Справка!EL31</f>
        <v>6135.77765</v>
      </c>
      <c r="K36" s="211">
        <f t="shared" si="8"/>
        <v>14.512822868880477</v>
      </c>
      <c r="L36" s="83"/>
    </row>
    <row r="37" spans="1:12" ht="30" customHeight="1">
      <c r="A37" s="81" t="s">
        <v>207</v>
      </c>
      <c r="B37" s="82" t="s">
        <v>208</v>
      </c>
      <c r="C37" s="209">
        <v>39365.292110000002</v>
      </c>
      <c r="D37" s="209">
        <v>1737.8190500000001</v>
      </c>
      <c r="E37" s="210">
        <f t="shared" si="5"/>
        <v>4.41459711550963</v>
      </c>
      <c r="F37" s="202">
        <f>район!C114</f>
        <v>39365.292109999995</v>
      </c>
      <c r="G37" s="210">
        <f>район!D114</f>
        <v>1737.8190500000001</v>
      </c>
      <c r="H37" s="211">
        <f t="shared" si="3"/>
        <v>4.4145971155096309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38885.718999999997</v>
      </c>
      <c r="D38" s="209">
        <v>1932.6331</v>
      </c>
      <c r="E38" s="210">
        <f t="shared" si="5"/>
        <v>4.9700330859254533</v>
      </c>
      <c r="F38" s="202">
        <f>район!C119</f>
        <v>38714.695</v>
      </c>
      <c r="G38" s="210">
        <f>район!D119</f>
        <v>1883.3670999999999</v>
      </c>
      <c r="H38" s="211">
        <f t="shared" si="3"/>
        <v>4.8647344374016122</v>
      </c>
      <c r="I38" s="211">
        <f>Справка!EQ31</f>
        <v>171.024</v>
      </c>
      <c r="J38" s="211">
        <f>Справка!ER31</f>
        <v>49.266999999999996</v>
      </c>
      <c r="K38" s="211">
        <f t="shared" si="8"/>
        <v>28.80706801384601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район!C125</f>
        <v>45</v>
      </c>
      <c r="G39" s="210">
        <f>район!D125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район!C127</f>
        <v>0</v>
      </c>
      <c r="G40" s="210">
        <f>район!D127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район!C129</f>
        <v>55346.026949999999</v>
      </c>
      <c r="G41" s="210">
        <f>район!D129</f>
        <v>7376.8755000000001</v>
      </c>
      <c r="H41" s="211">
        <f t="shared" si="3"/>
        <v>13.328645083529342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-69621.734070000122</v>
      </c>
      <c r="D43" s="139">
        <f>D27-D28</f>
        <v>-52722.619069999986</v>
      </c>
      <c r="E43" s="139"/>
      <c r="F43" s="139">
        <f>F27-F28</f>
        <v>-63146.644919999759</v>
      </c>
      <c r="G43" s="139">
        <f>G27-G28</f>
        <v>-55636.46497999999</v>
      </c>
      <c r="H43" s="139"/>
      <c r="I43" s="139">
        <f>I27-I28</f>
        <v>-6475.0891499999561</v>
      </c>
      <c r="J43" s="139">
        <f>J27-J28</f>
        <v>2913.844909999998</v>
      </c>
      <c r="K43" s="139"/>
    </row>
    <row r="44" spans="1:12" hidden="1">
      <c r="A44" s="140"/>
      <c r="B44" s="141"/>
      <c r="C44" s="139">
        <f>C43-F44</f>
        <v>-4.0745362639427185E-10</v>
      </c>
      <c r="D44" s="139">
        <f>D43-G44</f>
        <v>1.0000000038417056E-3</v>
      </c>
      <c r="E44" s="139"/>
      <c r="F44" s="139">
        <f>F43+I43</f>
        <v>-69621.734069999715</v>
      </c>
      <c r="G44" s="139">
        <f>G43+J43</f>
        <v>-52722.62006999999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744193.20702000044</v>
      </c>
      <c r="G45" s="143">
        <f>D28+G44-D23-D26</f>
        <v>104273.254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410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480"/>
      <c r="E50" s="480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 topLeftCell="A19">
      <selection activeCell="I14" sqref="I14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B30CE22D-C12F-4E12-8BB9-3AAE0A6991CC}" scale="80" showPageBreaks="1" printArea="1" hiddenRows="1" view="pageBreakPreview">
      <selection activeCell="B30" sqref="B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2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3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7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8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25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3" t="s">
        <v>420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6.75" customHeight="1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299.73186000000004</v>
      </c>
      <c r="E4" s="5">
        <f>SUM(D4/C4*100)</f>
        <v>11.996280227652951</v>
      </c>
      <c r="F4" s="5">
        <f>SUM(D4-C4)</f>
        <v>-2198.8081400000001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55.42022</v>
      </c>
      <c r="E5" s="5">
        <f t="shared" ref="E5:E51" si="0">SUM(D5/C5*100)</f>
        <v>29.557450666666668</v>
      </c>
      <c r="F5" s="5">
        <f t="shared" ref="F5:F51" si="1">SUM(D5-C5)</f>
        <v>-132.07978</v>
      </c>
    </row>
    <row r="6" spans="1:6">
      <c r="A6" s="7">
        <v>1010200001</v>
      </c>
      <c r="B6" s="8" t="s">
        <v>224</v>
      </c>
      <c r="C6" s="9">
        <v>187.5</v>
      </c>
      <c r="D6" s="10">
        <v>55.42022</v>
      </c>
      <c r="E6" s="9">
        <f t="shared" ref="E6:E11" si="2">SUM(D6/C6*100)</f>
        <v>29.557450666666668</v>
      </c>
      <c r="F6" s="9">
        <f t="shared" si="1"/>
        <v>-132.07978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114.10196000000002</v>
      </c>
      <c r="E7" s="9">
        <f t="shared" si="2"/>
        <v>23.14253610254746</v>
      </c>
      <c r="F7" s="9">
        <f t="shared" si="1"/>
        <v>-378.93804000000006</v>
      </c>
    </row>
    <row r="8" spans="1:6">
      <c r="A8" s="7">
        <v>1030223001</v>
      </c>
      <c r="B8" s="8" t="s">
        <v>268</v>
      </c>
      <c r="C8" s="9">
        <v>183.91</v>
      </c>
      <c r="D8" s="10">
        <v>51.781790000000001</v>
      </c>
      <c r="E8" s="9">
        <f t="shared" si="2"/>
        <v>28.156049154477735</v>
      </c>
      <c r="F8" s="9">
        <f t="shared" si="1"/>
        <v>-132.12821</v>
      </c>
    </row>
    <row r="9" spans="1:6">
      <c r="A9" s="7">
        <v>1030224001</v>
      </c>
      <c r="B9" s="8" t="s">
        <v>274</v>
      </c>
      <c r="C9" s="9">
        <v>1.97</v>
      </c>
      <c r="D9" s="10">
        <v>0.33756000000000003</v>
      </c>
      <c r="E9" s="9">
        <f t="shared" si="2"/>
        <v>17.135025380710662</v>
      </c>
      <c r="F9" s="9">
        <f t="shared" si="1"/>
        <v>-1.6324399999999999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72.678510000000003</v>
      </c>
      <c r="E10" s="9">
        <f t="shared" si="2"/>
        <v>23.661450058601378</v>
      </c>
      <c r="F10" s="9">
        <f t="shared" si="1"/>
        <v>-234.48149000000001</v>
      </c>
    </row>
    <row r="11" spans="1:6">
      <c r="A11" s="7">
        <v>1030265001</v>
      </c>
      <c r="B11" s="8" t="s">
        <v>276</v>
      </c>
      <c r="C11" s="9">
        <v>0</v>
      </c>
      <c r="D11" s="10">
        <v>-10.6959</v>
      </c>
      <c r="E11" s="9" t="e">
        <f t="shared" si="2"/>
        <v>#DIV/0!</v>
      </c>
      <c r="F11" s="9">
        <f t="shared" si="1"/>
        <v>-10.6959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122.80558000000001</v>
      </c>
      <c r="E14" s="5">
        <f t="shared" si="0"/>
        <v>6.8914466891133568</v>
      </c>
      <c r="F14" s="5">
        <f t="shared" si="1"/>
        <v>-1659.19442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12.48854</v>
      </c>
      <c r="E15" s="9">
        <f t="shared" si="0"/>
        <v>4.3063931034482756</v>
      </c>
      <c r="F15" s="9">
        <f>SUM(D15-C15)</f>
        <v>-277.51146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110.31704000000001</v>
      </c>
      <c r="E16" s="9">
        <f t="shared" si="0"/>
        <v>7.3939034852546923</v>
      </c>
      <c r="F16" s="9">
        <f t="shared" si="1"/>
        <v>-1381.6829600000001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3.25</v>
      </c>
      <c r="E17" s="5">
        <f t="shared" si="0"/>
        <v>54.166666666666664</v>
      </c>
      <c r="F17" s="5">
        <f t="shared" si="1"/>
        <v>-2.75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3.25</v>
      </c>
      <c r="E18" s="9">
        <f t="shared" si="0"/>
        <v>54.166666666666664</v>
      </c>
      <c r="F18" s="9">
        <f t="shared" si="1"/>
        <v>-2.75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61.702770000000001</v>
      </c>
      <c r="E25" s="5">
        <f t="shared" si="0"/>
        <v>18.451785287081339</v>
      </c>
      <c r="F25" s="5">
        <f t="shared" si="1"/>
        <v>-272.69722999999999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61.571919999999999</v>
      </c>
      <c r="E26" s="5">
        <f t="shared" si="0"/>
        <v>21.649760900140649</v>
      </c>
      <c r="F26" s="5">
        <f t="shared" si="1"/>
        <v>-222.82807999999997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48.071919999999999</v>
      </c>
      <c r="E27" s="9">
        <f t="shared" si="0"/>
        <v>20.864548611111111</v>
      </c>
      <c r="F27" s="9">
        <f t="shared" si="1"/>
        <v>-182.32808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13.5</v>
      </c>
      <c r="E28" s="9">
        <f t="shared" si="0"/>
        <v>25</v>
      </c>
      <c r="F28" s="9">
        <f t="shared" si="1"/>
        <v>-40.5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0.13084999999999999</v>
      </c>
      <c r="E29" s="5">
        <f t="shared" si="0"/>
        <v>0.26169999999999999</v>
      </c>
      <c r="F29" s="5">
        <f t="shared" si="1"/>
        <v>-49.869149999999998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0.13084999999999999</v>
      </c>
      <c r="E30" s="9">
        <f t="shared" si="0"/>
        <v>0.26169999999999999</v>
      </c>
      <c r="F30" s="9">
        <f t="shared" si="1"/>
        <v>-49.869149999999998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361.43463000000003</v>
      </c>
      <c r="E39" s="5">
        <f t="shared" si="0"/>
        <v>12.758287503441654</v>
      </c>
      <c r="F39" s="5">
        <f t="shared" si="1"/>
        <v>-2471.5053699999999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14004.536580000002</v>
      </c>
      <c r="D40" s="5">
        <f>D41+D43+D45+D46+D48+D49+D42+D47</f>
        <v>650.36419999999998</v>
      </c>
      <c r="E40" s="5">
        <f t="shared" si="0"/>
        <v>4.6439537380250817</v>
      </c>
      <c r="F40" s="5">
        <f t="shared" si="1"/>
        <v>-13354.172380000002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399.24299999999999</v>
      </c>
      <c r="E41" s="9">
        <f t="shared" si="0"/>
        <v>24.999561678146527</v>
      </c>
      <c r="F41" s="9">
        <f t="shared" si="1"/>
        <v>-1197.7570000000001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0</v>
      </c>
      <c r="E42" s="9">
        <f>SUM(D42/C42*100)</f>
        <v>0</v>
      </c>
      <c r="F42" s="9">
        <f>SUM(D42-C42)</f>
        <v>-265</v>
      </c>
    </row>
    <row r="43" spans="1:7" ht="19.5" customHeight="1">
      <c r="A43" s="16">
        <v>2022000000</v>
      </c>
      <c r="B43" s="17" t="s">
        <v>19</v>
      </c>
      <c r="C43" s="12">
        <v>3828.3399899999999</v>
      </c>
      <c r="D43" s="10">
        <v>118.05500000000001</v>
      </c>
      <c r="E43" s="9">
        <f t="shared" si="0"/>
        <v>3.0837125309761215</v>
      </c>
      <c r="F43" s="9">
        <f t="shared" si="1"/>
        <v>-3710.2849900000001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44.799900000000001</v>
      </c>
      <c r="E45" s="9">
        <f t="shared" si="0"/>
        <v>24.234108501971733</v>
      </c>
      <c r="F45" s="9">
        <f t="shared" si="1"/>
        <v>-140.06309999999999</v>
      </c>
    </row>
    <row r="46" spans="1:7" ht="19.5" customHeight="1">
      <c r="A46" s="16">
        <v>2020400000</v>
      </c>
      <c r="B46" s="17" t="s">
        <v>21</v>
      </c>
      <c r="C46" s="12">
        <v>7852.1431000000002</v>
      </c>
      <c r="D46" s="188"/>
      <c r="E46" s="9">
        <f t="shared" si="0"/>
        <v>0</v>
      </c>
      <c r="F46" s="9">
        <f t="shared" si="1"/>
        <v>-7852.1431000000002</v>
      </c>
    </row>
    <row r="47" spans="1:7" ht="20.25" customHeight="1">
      <c r="A47" s="7">
        <v>2070500010</v>
      </c>
      <c r="B47" s="18" t="s">
        <v>283</v>
      </c>
      <c r="C47" s="12">
        <v>277.19049000000001</v>
      </c>
      <c r="D47" s="188">
        <v>88.266300000000001</v>
      </c>
      <c r="E47" s="9">
        <f t="shared" si="0"/>
        <v>31.843192022929788</v>
      </c>
      <c r="F47" s="9">
        <f t="shared" si="1"/>
        <v>-188.92419000000001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16837.476580000002</v>
      </c>
      <c r="D51" s="460">
        <f>D39+D40</f>
        <v>1011.79883</v>
      </c>
      <c r="E51" s="5">
        <f t="shared" si="0"/>
        <v>6.0092070518562215</v>
      </c>
      <c r="F51" s="5">
        <f t="shared" si="1"/>
        <v>-15825.677750000003</v>
      </c>
      <c r="G51" s="200"/>
    </row>
    <row r="52" spans="1:7" s="6" customFormat="1">
      <c r="A52" s="3"/>
      <c r="B52" s="21" t="s">
        <v>306</v>
      </c>
      <c r="C52" s="93">
        <f>C51-C99</f>
        <v>-202.74661999999807</v>
      </c>
      <c r="D52" s="93">
        <f>D51-D99</f>
        <v>173.63601999999992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402</v>
      </c>
      <c r="D54" s="103" t="s">
        <v>413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1491.9949999999999</v>
      </c>
      <c r="D56" s="33">
        <f>D57+D58+D59+D60+D61+D63+D62</f>
        <v>256.92331999999999</v>
      </c>
      <c r="E56" s="34">
        <f>SUM(D56/C56*100)</f>
        <v>17.220119370373226</v>
      </c>
      <c r="F56" s="34">
        <f>SUM(D56-C56)</f>
        <v>-1235.07168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256.92331999999999</v>
      </c>
      <c r="E58" s="38">
        <f t="shared" ref="E58:E99" si="3">SUM(D58/C58*100)</f>
        <v>17.829515614156836</v>
      </c>
      <c r="F58" s="38">
        <f t="shared" ref="F58:F99" si="4">SUM(D58-C58)</f>
        <v>-1184.0766800000001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3.9950000000000001</v>
      </c>
      <c r="D63" s="37">
        <v>0</v>
      </c>
      <c r="E63" s="38">
        <f t="shared" si="3"/>
        <v>0</v>
      </c>
      <c r="F63" s="38">
        <f t="shared" si="4"/>
        <v>-3.9950000000000001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35.588999999999999</v>
      </c>
      <c r="E64" s="34">
        <f t="shared" si="3"/>
        <v>19.696927768522769</v>
      </c>
      <c r="F64" s="34">
        <f t="shared" si="4"/>
        <v>-145.09399999999999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35.588999999999999</v>
      </c>
      <c r="E65" s="38">
        <f t="shared" si="3"/>
        <v>19.696927768522769</v>
      </c>
      <c r="F65" s="38">
        <f t="shared" si="4"/>
        <v>-145.09399999999999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1.5</v>
      </c>
      <c r="E66" s="34">
        <f t="shared" si="3"/>
        <v>15</v>
      </c>
      <c r="F66" s="34">
        <f t="shared" si="4"/>
        <v>-8.5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1.5</v>
      </c>
      <c r="E70" s="38">
        <f>SUM(D70/C70*100)</f>
        <v>25</v>
      </c>
      <c r="F70" s="38">
        <f>SUM(D70-C70)</f>
        <v>-4.5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4050.51811</v>
      </c>
      <c r="D72" s="48">
        <f>SUM(D73:D76)</f>
        <v>159.113</v>
      </c>
      <c r="E72" s="34">
        <f t="shared" si="3"/>
        <v>3.9282135193317282</v>
      </c>
      <c r="F72" s="34">
        <f t="shared" si="4"/>
        <v>-3891.4051100000001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1182.6652999999999</v>
      </c>
      <c r="D74" s="37">
        <v>24</v>
      </c>
      <c r="E74" s="38">
        <f t="shared" si="3"/>
        <v>2.0293146336499435</v>
      </c>
      <c r="F74" s="38">
        <f t="shared" si="4"/>
        <v>-1158.6652999999999</v>
      </c>
      <c r="G74" s="50"/>
    </row>
    <row r="75" spans="1:7">
      <c r="A75" s="35" t="s">
        <v>61</v>
      </c>
      <c r="B75" s="39" t="s">
        <v>62</v>
      </c>
      <c r="C75" s="49">
        <v>2756.1648100000002</v>
      </c>
      <c r="D75" s="37">
        <v>135.113</v>
      </c>
      <c r="E75" s="38">
        <f t="shared" si="3"/>
        <v>4.902210474126182</v>
      </c>
      <c r="F75" s="38">
        <f t="shared" si="4"/>
        <v>-2621.0518100000004</v>
      </c>
    </row>
    <row r="76" spans="1:7">
      <c r="A76" s="35" t="s">
        <v>63</v>
      </c>
      <c r="B76" s="39" t="s">
        <v>64</v>
      </c>
      <c r="C76" s="49">
        <v>101.667</v>
      </c>
      <c r="D76" s="37">
        <v>0</v>
      </c>
      <c r="E76" s="38">
        <f t="shared" si="3"/>
        <v>0</v>
      </c>
      <c r="F76" s="38">
        <f t="shared" si="4"/>
        <v>-101.667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8286.7520999999997</v>
      </c>
      <c r="D77" s="32">
        <f>SUM(D78:D81)</f>
        <v>144.32549</v>
      </c>
      <c r="E77" s="34">
        <f t="shared" si="3"/>
        <v>1.7416412155010645</v>
      </c>
      <c r="F77" s="34">
        <f t="shared" si="4"/>
        <v>-8142.4266099999995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6.5" customHeight="1">
      <c r="A80" s="35" t="s">
        <v>71</v>
      </c>
      <c r="B80" s="39" t="s">
        <v>72</v>
      </c>
      <c r="C80" s="37">
        <v>8286.7520999999997</v>
      </c>
      <c r="D80" s="37">
        <v>144.32549</v>
      </c>
      <c r="E80" s="38">
        <f t="shared" si="3"/>
        <v>1.7416412155010645</v>
      </c>
      <c r="F80" s="38">
        <f t="shared" si="4"/>
        <v>-8142.4266099999995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3018.2749899999999</v>
      </c>
      <c r="D82" s="32">
        <f>SUM(D83)</f>
        <v>240.71199999999999</v>
      </c>
      <c r="E82" s="34">
        <f t="shared" si="3"/>
        <v>7.9751513959965585</v>
      </c>
      <c r="F82" s="34">
        <f t="shared" si="4"/>
        <v>-2777.5629899999999</v>
      </c>
    </row>
    <row r="83" spans="1:6" ht="16.5" customHeight="1">
      <c r="A83" s="35" t="s">
        <v>85</v>
      </c>
      <c r="B83" s="39" t="s">
        <v>229</v>
      </c>
      <c r="C83" s="37">
        <v>3018.2749899999999</v>
      </c>
      <c r="D83" s="37">
        <v>240.71199999999999</v>
      </c>
      <c r="E83" s="38">
        <f t="shared" si="3"/>
        <v>7.9751513959965585</v>
      </c>
      <c r="F83" s="38">
        <f t="shared" si="4"/>
        <v>-2777.5629899999999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17040.2232</v>
      </c>
      <c r="D99" s="102">
        <f>D56+D64+D66+D72+D77+D82+D84+D89+D95</f>
        <v>838.16281000000004</v>
      </c>
      <c r="E99" s="34">
        <f t="shared" si="3"/>
        <v>4.9187314048797202</v>
      </c>
      <c r="F99" s="34">
        <f t="shared" si="4"/>
        <v>-16202.060390000001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25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28">
      <selection activeCell="D54" sqref="D5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2" sqref="D82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3" t="s">
        <v>421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267.36883999999998</v>
      </c>
      <c r="E4" s="5">
        <f>SUM(D4/C4*100)</f>
        <v>14.401458627339029</v>
      </c>
      <c r="F4" s="5">
        <f>SUM(D4-C4)</f>
        <v>-1589.1711599999999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25.708480000000002</v>
      </c>
      <c r="E5" s="5">
        <f t="shared" ref="E5:E51" si="0">SUM(D5/C5*100)</f>
        <v>18.683488372093024</v>
      </c>
      <c r="F5" s="5">
        <f t="shared" ref="F5:F48" si="1">SUM(D5-C5)</f>
        <v>-111.89151999999999</v>
      </c>
    </row>
    <row r="6" spans="1:6">
      <c r="A6" s="7">
        <v>1010200001</v>
      </c>
      <c r="B6" s="8" t="s">
        <v>224</v>
      </c>
      <c r="C6" s="9">
        <v>137.6</v>
      </c>
      <c r="D6" s="10">
        <v>25.708480000000002</v>
      </c>
      <c r="E6" s="9">
        <f t="shared" ref="E6:E11" si="2">SUM(D6/C6*100)</f>
        <v>18.683488372093024</v>
      </c>
      <c r="F6" s="9">
        <f t="shared" si="1"/>
        <v>-111.89151999999999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141.15703999999999</v>
      </c>
      <c r="E7" s="9">
        <f t="shared" si="2"/>
        <v>23.142774699150735</v>
      </c>
      <c r="F7" s="9">
        <f t="shared" si="1"/>
        <v>-468.78296000000006</v>
      </c>
    </row>
    <row r="8" spans="1:6">
      <c r="A8" s="7">
        <v>1030223001</v>
      </c>
      <c r="B8" s="8" t="s">
        <v>268</v>
      </c>
      <c r="C8" s="9">
        <v>227.51</v>
      </c>
      <c r="D8" s="10">
        <v>64.059910000000002</v>
      </c>
      <c r="E8" s="9">
        <f t="shared" si="2"/>
        <v>28.15696452903169</v>
      </c>
      <c r="F8" s="9">
        <f t="shared" si="1"/>
        <v>-163.45008999999999</v>
      </c>
    </row>
    <row r="9" spans="1:6">
      <c r="A9" s="7">
        <v>1030224001</v>
      </c>
      <c r="B9" s="8" t="s">
        <v>274</v>
      </c>
      <c r="C9" s="9">
        <v>2.44</v>
      </c>
      <c r="D9" s="10">
        <v>0.41760999999999998</v>
      </c>
      <c r="E9" s="9">
        <f t="shared" si="2"/>
        <v>17.115163934426228</v>
      </c>
      <c r="F9" s="9">
        <f t="shared" si="1"/>
        <v>-2.0223900000000001</v>
      </c>
    </row>
    <row r="10" spans="1:6">
      <c r="A10" s="7">
        <v>1030225001</v>
      </c>
      <c r="B10" s="8" t="s">
        <v>267</v>
      </c>
      <c r="C10" s="9">
        <v>379.99</v>
      </c>
      <c r="D10" s="10">
        <v>89.911559999999994</v>
      </c>
      <c r="E10" s="9">
        <f t="shared" si="2"/>
        <v>23.661559514724072</v>
      </c>
      <c r="F10" s="9">
        <f t="shared" si="1"/>
        <v>-290.07844</v>
      </c>
    </row>
    <row r="11" spans="1:6">
      <c r="A11" s="7">
        <v>1030226001</v>
      </c>
      <c r="B11" s="8" t="s">
        <v>276</v>
      </c>
      <c r="C11" s="9">
        <v>0</v>
      </c>
      <c r="D11" s="10">
        <v>-13.23204</v>
      </c>
      <c r="E11" s="9" t="e">
        <f t="shared" si="2"/>
        <v>#DIV/0!</v>
      </c>
      <c r="F11" s="9">
        <f t="shared" si="1"/>
        <v>-13.23204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3.8325</v>
      </c>
      <c r="E12" s="5">
        <f t="shared" si="0"/>
        <v>7.6649999999999991</v>
      </c>
      <c r="F12" s="5">
        <f t="shared" si="1"/>
        <v>-46.167499999999997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3.8325</v>
      </c>
      <c r="E13" s="9">
        <f t="shared" si="0"/>
        <v>7.6649999999999991</v>
      </c>
      <c r="F13" s="9">
        <f t="shared" si="1"/>
        <v>-46.167499999999997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95.170820000000006</v>
      </c>
      <c r="E14" s="5">
        <f t="shared" si="0"/>
        <v>9.0209308056872057</v>
      </c>
      <c r="F14" s="5">
        <f t="shared" si="1"/>
        <v>-959.82917999999995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11.227449999999999</v>
      </c>
      <c r="E15" s="9">
        <f t="shared" si="0"/>
        <v>7.4849666666666659</v>
      </c>
      <c r="F15" s="9">
        <f>SUM(D15-C15)</f>
        <v>-138.77255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83.943370000000002</v>
      </c>
      <c r="E16" s="9">
        <f t="shared" si="0"/>
        <v>9.275510497237569</v>
      </c>
      <c r="F16" s="9">
        <f t="shared" si="1"/>
        <v>-821.05663000000004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1.5</v>
      </c>
      <c r="E17" s="5">
        <f t="shared" si="0"/>
        <v>37.5</v>
      </c>
      <c r="F17" s="5">
        <f t="shared" si="1"/>
        <v>-2.5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1.5</v>
      </c>
      <c r="E18" s="9">
        <f t="shared" si="0"/>
        <v>37.5</v>
      </c>
      <c r="F18" s="9">
        <f t="shared" si="1"/>
        <v>-2.5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133.58344</v>
      </c>
      <c r="E25" s="5">
        <f t="shared" si="0"/>
        <v>29.543857941891353</v>
      </c>
      <c r="F25" s="5">
        <f t="shared" si="1"/>
        <v>-318.56955999999997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133.58344</v>
      </c>
      <c r="E26" s="5">
        <f t="shared" si="0"/>
        <v>29.543857941891353</v>
      </c>
      <c r="F26" s="5">
        <f t="shared" si="1"/>
        <v>-318.56955999999997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1.6934400000000001</v>
      </c>
      <c r="E28" s="9">
        <f t="shared" si="0"/>
        <v>25.275223880597014</v>
      </c>
      <c r="F28" s="9">
        <f t="shared" si="1"/>
        <v>-5.0065600000000003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400.95227999999997</v>
      </c>
      <c r="E39" s="5">
        <f t="shared" si="0"/>
        <v>17.367067860473437</v>
      </c>
      <c r="F39" s="5">
        <f t="shared" si="1"/>
        <v>-1907.7407199999998</v>
      </c>
    </row>
    <row r="40" spans="1:7" s="6" customFormat="1">
      <c r="A40" s="3">
        <v>2000000000</v>
      </c>
      <c r="B40" s="4" t="s">
        <v>17</v>
      </c>
      <c r="C40" s="93">
        <f>C41+C42+C43+C44+C48+C49</f>
        <v>11724.60795</v>
      </c>
      <c r="D40" s="93">
        <f>D41+D42+D43+D44+D48+D49+D50</f>
        <v>1355.7371499999999</v>
      </c>
      <c r="E40" s="5">
        <f t="shared" si="0"/>
        <v>11.563176831000135</v>
      </c>
      <c r="F40" s="5">
        <f t="shared" si="1"/>
        <v>-10368.870800000001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759.16200000000003</v>
      </c>
      <c r="E41" s="9">
        <f t="shared" si="0"/>
        <v>24.999571903711267</v>
      </c>
      <c r="F41" s="9">
        <f t="shared" si="1"/>
        <v>-2277.5379999999996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5259.6943799999999</v>
      </c>
      <c r="D43" s="10">
        <v>118.544</v>
      </c>
      <c r="E43" s="9">
        <f t="shared" si="0"/>
        <v>2.2538191658200488</v>
      </c>
      <c r="F43" s="9">
        <f t="shared" si="1"/>
        <v>-5141.15038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44.799900000000001</v>
      </c>
      <c r="E44" s="9">
        <f t="shared" si="0"/>
        <v>24.392447036147725</v>
      </c>
      <c r="F44" s="9">
        <f t="shared" si="1"/>
        <v>-138.8631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2812</v>
      </c>
      <c r="D48" s="10"/>
      <c r="E48" s="9">
        <f t="shared" si="0"/>
        <v>0</v>
      </c>
      <c r="F48" s="9">
        <f t="shared" si="1"/>
        <v>-2812</v>
      </c>
    </row>
    <row r="49" spans="1:7" s="6" customFormat="1" ht="18.75" customHeight="1">
      <c r="A49" s="7">
        <v>2070500010</v>
      </c>
      <c r="B49" s="8" t="s">
        <v>334</v>
      </c>
      <c r="C49" s="12">
        <v>432.55056999999999</v>
      </c>
      <c r="D49" s="10">
        <v>433.23124999999999</v>
      </c>
      <c r="E49" s="9">
        <f>SUM(D49/C49*100)</f>
        <v>100.15736425916629</v>
      </c>
      <c r="F49" s="9">
        <f>SUM(D49-C49)</f>
        <v>0.68067999999999529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14033.300949999999</v>
      </c>
      <c r="D51" s="93">
        <f>SUM(D39,D40,)</f>
        <v>1756.6894299999999</v>
      </c>
      <c r="E51" s="5">
        <f t="shared" si="0"/>
        <v>12.518005822429112</v>
      </c>
      <c r="F51" s="5">
        <f>SUM(D51-C51)</f>
        <v>-12276.611519999999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458.11722999999984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402</v>
      </c>
      <c r="D54" s="180" t="s">
        <v>413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1448.9010000000001</v>
      </c>
      <c r="D56" s="182">
        <f>D57+D58+D59+D60+D61+D63+D62</f>
        <v>273.39107999999999</v>
      </c>
      <c r="E56" s="34">
        <f>SUM(D56/C56*100)</f>
        <v>18.868858534848133</v>
      </c>
      <c r="F56" s="34">
        <f>SUM(D56-C56)</f>
        <v>-1175.50992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272.14107999999999</v>
      </c>
      <c r="E58" s="38">
        <f t="shared" ref="E58:E98" si="3">SUM(D58/C58*100)</f>
        <v>19.491554218593325</v>
      </c>
      <c r="F58" s="38">
        <f t="shared" ref="F58:F98" si="4">SUM(D58-C58)</f>
        <v>-1124.0589199999999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5.7009999999999996</v>
      </c>
      <c r="D63" s="37">
        <v>1.25</v>
      </c>
      <c r="E63" s="38">
        <f t="shared" si="3"/>
        <v>21.925977898614278</v>
      </c>
      <c r="F63" s="38">
        <f t="shared" si="4"/>
        <v>-4.4509999999999996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36.386519999999997</v>
      </c>
      <c r="E64" s="34">
        <f>SUM(D64/C64*100)</f>
        <v>20.138319598412689</v>
      </c>
      <c r="F64" s="34">
        <f t="shared" si="4"/>
        <v>-144.29648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36.386519999999997</v>
      </c>
      <c r="E65" s="259">
        <f>SUM(D65/C65*100)</f>
        <v>20.138319598412689</v>
      </c>
      <c r="F65" s="38">
        <f t="shared" si="4"/>
        <v>-144.29648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6965.2670500000004</v>
      </c>
      <c r="D72" s="48">
        <f>SUM(D73:D76)</f>
        <v>211.797</v>
      </c>
      <c r="E72" s="34">
        <f t="shared" si="3"/>
        <v>3.0407592197057252</v>
      </c>
      <c r="F72" s="34">
        <f t="shared" si="4"/>
        <v>-6753.4700500000008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100</v>
      </c>
      <c r="D74" s="37">
        <v>47.1</v>
      </c>
      <c r="E74" s="38">
        <f t="shared" si="3"/>
        <v>47.1</v>
      </c>
      <c r="F74" s="38">
        <f t="shared" si="4"/>
        <v>-52.9</v>
      </c>
      <c r="G74" s="50"/>
    </row>
    <row r="75" spans="1:7">
      <c r="A75" s="35" t="s">
        <v>61</v>
      </c>
      <c r="B75" s="39" t="s">
        <v>62</v>
      </c>
      <c r="C75" s="49">
        <v>5306.3816699999998</v>
      </c>
      <c r="D75" s="37">
        <v>137.697</v>
      </c>
      <c r="E75" s="38">
        <f t="shared" si="3"/>
        <v>2.5949320754381398</v>
      </c>
      <c r="F75" s="38">
        <f t="shared" si="4"/>
        <v>-5168.6846699999996</v>
      </c>
    </row>
    <row r="76" spans="1:7">
      <c r="A76" s="35" t="s">
        <v>63</v>
      </c>
      <c r="B76" s="39" t="s">
        <v>64</v>
      </c>
      <c r="C76" s="49">
        <v>1551.72738</v>
      </c>
      <c r="D76" s="37">
        <v>27</v>
      </c>
      <c r="E76" s="38">
        <f t="shared" si="3"/>
        <v>1.7399963645675955</v>
      </c>
      <c r="F76" s="38">
        <f t="shared" si="4"/>
        <v>-1524.72738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3805.6564100000001</v>
      </c>
      <c r="D77" s="32">
        <f>SUM(D78:D80)</f>
        <v>221.94488999999999</v>
      </c>
      <c r="E77" s="34">
        <f t="shared" si="3"/>
        <v>5.8319739379730287</v>
      </c>
      <c r="F77" s="34">
        <f t="shared" si="4"/>
        <v>-3583.7115199999998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8.75" hidden="1" customHeight="1">
      <c r="A79" s="35" t="s">
        <v>69</v>
      </c>
      <c r="B79" s="51" t="s">
        <v>70</v>
      </c>
      <c r="C79" s="37">
        <v>0</v>
      </c>
      <c r="D79" s="37">
        <v>0</v>
      </c>
      <c r="E79" s="34" t="e">
        <f t="shared" si="3"/>
        <v>#DIV/0!</v>
      </c>
      <c r="F79" s="34">
        <f t="shared" si="4"/>
        <v>0</v>
      </c>
    </row>
    <row r="80" spans="1:7">
      <c r="A80" s="35" t="s">
        <v>71</v>
      </c>
      <c r="B80" s="39" t="s">
        <v>72</v>
      </c>
      <c r="C80" s="37">
        <v>3805.6564100000001</v>
      </c>
      <c r="D80" s="37">
        <v>221.94488999999999</v>
      </c>
      <c r="E80" s="38">
        <f t="shared" si="3"/>
        <v>5.8319739379730287</v>
      </c>
      <c r="F80" s="38">
        <f t="shared" si="4"/>
        <v>-3583.7115199999998</v>
      </c>
    </row>
    <row r="81" spans="1:6" s="6" customFormat="1">
      <c r="A81" s="30" t="s">
        <v>83</v>
      </c>
      <c r="B81" s="31" t="s">
        <v>84</v>
      </c>
      <c r="C81" s="32">
        <f>C82</f>
        <v>2134.3000000000002</v>
      </c>
      <c r="D81" s="32">
        <f>D82</f>
        <v>554.08570999999995</v>
      </c>
      <c r="E81" s="34">
        <f>SUM(D81/C81*100)</f>
        <v>25.961004076277934</v>
      </c>
      <c r="F81" s="34">
        <f t="shared" si="4"/>
        <v>-1580.2142900000003</v>
      </c>
    </row>
    <row r="82" spans="1:6" ht="15.75" customHeight="1">
      <c r="A82" s="35" t="s">
        <v>85</v>
      </c>
      <c r="B82" s="39" t="s">
        <v>229</v>
      </c>
      <c r="C82" s="37">
        <v>2134.3000000000002</v>
      </c>
      <c r="D82" s="37">
        <v>554.08570999999995</v>
      </c>
      <c r="E82" s="38">
        <f>SUM(D82/C82*100)</f>
        <v>25.961004076277934</v>
      </c>
      <c r="F82" s="38">
        <f t="shared" si="4"/>
        <v>-1580.2142900000003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61">
        <f>C56+C64+C66+C72+C77+C81+C83+C88+C94</f>
        <v>14542.80746</v>
      </c>
      <c r="D98" s="461">
        <f>D56+D64+D66+D72+D77+D81+D83+D88+D94</f>
        <v>1298.5722000000001</v>
      </c>
      <c r="E98" s="34">
        <f t="shared" si="3"/>
        <v>8.9293088942539018</v>
      </c>
      <c r="F98" s="34">
        <f t="shared" si="4"/>
        <v>-13244.235259999999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4">
      <selection activeCell="D82" sqref="D82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3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4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422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284.01738</v>
      </c>
      <c r="E4" s="5">
        <f>SUM(D4/C4*100)</f>
        <v>17.319188974937497</v>
      </c>
      <c r="F4" s="5">
        <f>SUM(D4-C4)</f>
        <v>-1355.8826200000001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25.12528</v>
      </c>
      <c r="E5" s="5">
        <f t="shared" ref="E5:E51" si="0">SUM(D5/C5*100)</f>
        <v>21.365034013605445</v>
      </c>
      <c r="F5" s="5">
        <f t="shared" ref="F5:F51" si="1">SUM(D5-C5)</f>
        <v>-92.474719999999991</v>
      </c>
    </row>
    <row r="6" spans="1:6">
      <c r="A6" s="7">
        <v>1010200001</v>
      </c>
      <c r="B6" s="8" t="s">
        <v>224</v>
      </c>
      <c r="C6" s="9">
        <v>117.6</v>
      </c>
      <c r="D6" s="10">
        <v>25.12528</v>
      </c>
      <c r="E6" s="9">
        <f t="shared" ref="E6:E11" si="2">SUM(D6/C6*100)</f>
        <v>21.365034013605445</v>
      </c>
      <c r="F6" s="9">
        <f t="shared" si="1"/>
        <v>-92.474719999999991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195.85549</v>
      </c>
      <c r="E7" s="5">
        <f t="shared" si="2"/>
        <v>23.142560557721847</v>
      </c>
      <c r="F7" s="5">
        <f t="shared" si="1"/>
        <v>-650.44451000000004</v>
      </c>
    </row>
    <row r="8" spans="1:6">
      <c r="A8" s="7">
        <v>1030223001</v>
      </c>
      <c r="B8" s="8" t="s">
        <v>268</v>
      </c>
      <c r="C8" s="9">
        <v>315.67</v>
      </c>
      <c r="D8" s="10">
        <v>88.883189999999999</v>
      </c>
      <c r="E8" s="9">
        <f t="shared" si="2"/>
        <v>28.156996230240438</v>
      </c>
      <c r="F8" s="9">
        <f t="shared" si="1"/>
        <v>-226.78681</v>
      </c>
    </row>
    <row r="9" spans="1:6">
      <c r="A9" s="7">
        <v>1030224001</v>
      </c>
      <c r="B9" s="8" t="s">
        <v>274</v>
      </c>
      <c r="C9" s="9">
        <v>3.39</v>
      </c>
      <c r="D9" s="10">
        <v>0.57942000000000005</v>
      </c>
      <c r="E9" s="9">
        <f>SUM(D9/C9*100)</f>
        <v>17.092035398230092</v>
      </c>
      <c r="F9" s="9">
        <f t="shared" si="1"/>
        <v>-2.8105799999999999</v>
      </c>
    </row>
    <row r="10" spans="1:6">
      <c r="A10" s="7">
        <v>1030225001</v>
      </c>
      <c r="B10" s="8" t="s">
        <v>267</v>
      </c>
      <c r="C10" s="9">
        <v>527.24</v>
      </c>
      <c r="D10" s="10">
        <v>124.75228</v>
      </c>
      <c r="E10" s="9">
        <f t="shared" si="2"/>
        <v>23.661383810029587</v>
      </c>
      <c r="F10" s="9">
        <f t="shared" si="1"/>
        <v>-402.48772000000002</v>
      </c>
    </row>
    <row r="11" spans="1:6">
      <c r="A11" s="7">
        <v>1030226001</v>
      </c>
      <c r="B11" s="8" t="s">
        <v>276</v>
      </c>
      <c r="C11" s="9">
        <v>0</v>
      </c>
      <c r="D11" s="10">
        <v>-18.359400000000001</v>
      </c>
      <c r="E11" s="9" t="e">
        <f t="shared" si="2"/>
        <v>#DIV/0!</v>
      </c>
      <c r="F11" s="9">
        <f t="shared" si="1"/>
        <v>-18.359400000000001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30.24</v>
      </c>
      <c r="E12" s="5">
        <f t="shared" si="0"/>
        <v>100.8</v>
      </c>
      <c r="F12" s="5">
        <f t="shared" si="1"/>
        <v>0.23999999999999844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30.24</v>
      </c>
      <c r="E13" s="9">
        <f t="shared" si="0"/>
        <v>100.8</v>
      </c>
      <c r="F13" s="9">
        <f t="shared" si="1"/>
        <v>0.23999999999999844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31.396609999999999</v>
      </c>
      <c r="E14" s="5">
        <f t="shared" si="0"/>
        <v>4.9210987460815048</v>
      </c>
      <c r="F14" s="5">
        <f t="shared" si="1"/>
        <v>-606.60338999999999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9.1936</v>
      </c>
      <c r="E15" s="9">
        <f t="shared" si="0"/>
        <v>3.6774399999999998</v>
      </c>
      <c r="F15" s="9">
        <f>SUM(D15-C15)</f>
        <v>-240.8064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22.203009999999999</v>
      </c>
      <c r="E16" s="9">
        <f t="shared" si="0"/>
        <v>5.7224252577319588</v>
      </c>
      <c r="F16" s="9">
        <f t="shared" si="1"/>
        <v>-365.79698999999999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1.4</v>
      </c>
      <c r="E17" s="5">
        <f t="shared" si="0"/>
        <v>17.5</v>
      </c>
      <c r="F17" s="5">
        <f t="shared" si="1"/>
        <v>-6.6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1.4</v>
      </c>
      <c r="E18" s="9">
        <f t="shared" si="0"/>
        <v>17.5</v>
      </c>
      <c r="F18" s="9">
        <f t="shared" si="1"/>
        <v>-6.6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248.67144999999999</v>
      </c>
      <c r="E25" s="5">
        <f t="shared" si="0"/>
        <v>34.58092754832429</v>
      </c>
      <c r="F25" s="5">
        <f t="shared" si="1"/>
        <v>-470.42855000000003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244.91976</v>
      </c>
      <c r="E26" s="5">
        <f t="shared" si="0"/>
        <v>36.604358092960695</v>
      </c>
      <c r="F26" s="5">
        <f t="shared" si="1"/>
        <v>-424.18024000000003</v>
      </c>
    </row>
    <row r="27" spans="1:6">
      <c r="A27" s="16">
        <v>1110502510</v>
      </c>
      <c r="B27" s="17" t="s">
        <v>221</v>
      </c>
      <c r="C27" s="12">
        <v>592.1</v>
      </c>
      <c r="D27" s="10">
        <v>225.66</v>
      </c>
      <c r="E27" s="9">
        <f t="shared" si="0"/>
        <v>38.111805438270565</v>
      </c>
      <c r="F27" s="9">
        <f t="shared" si="1"/>
        <v>-366.44000000000005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19.25976</v>
      </c>
      <c r="E28" s="9">
        <f t="shared" si="0"/>
        <v>25.012675324675328</v>
      </c>
      <c r="F28" s="9">
        <f t="shared" si="1"/>
        <v>-57.74024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3.75169</v>
      </c>
      <c r="E29" s="5">
        <f t="shared" si="0"/>
        <v>7.5033799999999999</v>
      </c>
      <c r="F29" s="5">
        <f t="shared" si="1"/>
        <v>-46.248310000000004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3.75169</v>
      </c>
      <c r="E30" s="9">
        <f t="shared" si="0"/>
        <v>7.5033799999999999</v>
      </c>
      <c r="F30" s="9">
        <f t="shared" si="1"/>
        <v>-46.248310000000004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532.68883000000005</v>
      </c>
      <c r="E40" s="5">
        <f t="shared" si="0"/>
        <v>22.58112886816448</v>
      </c>
      <c r="F40" s="5">
        <f t="shared" si="1"/>
        <v>-1826.3111699999999</v>
      </c>
    </row>
    <row r="41" spans="1:7" s="6" customFormat="1">
      <c r="A41" s="3">
        <v>2000000000</v>
      </c>
      <c r="B41" s="4" t="s">
        <v>17</v>
      </c>
      <c r="C41" s="5">
        <f>C42+C43+C44+C45+C46+C48</f>
        <v>5083.3996100000004</v>
      </c>
      <c r="D41" s="5">
        <f>D42+D43+D44+D45+D46+D48+D49</f>
        <v>314.67089999999996</v>
      </c>
      <c r="E41" s="5">
        <f t="shared" si="0"/>
        <v>6.1901665055208976</v>
      </c>
      <c r="F41" s="5">
        <f t="shared" si="1"/>
        <v>-4768.7287100000003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269.87099999999998</v>
      </c>
      <c r="E42" s="9">
        <f t="shared" si="0"/>
        <v>24.999629458082445</v>
      </c>
      <c r="F42" s="9">
        <f t="shared" si="1"/>
        <v>-809.62900000000002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0</v>
      </c>
      <c r="E43" s="9">
        <f>SUM(D43/C43*100)</f>
        <v>0</v>
      </c>
      <c r="F43" s="9">
        <f>SUM(D43-C43)</f>
        <v>-100</v>
      </c>
    </row>
    <row r="44" spans="1:7">
      <c r="A44" s="16">
        <v>2022000000</v>
      </c>
      <c r="B44" s="17" t="s">
        <v>19</v>
      </c>
      <c r="C44" s="99">
        <f>1350.411+1908.1</f>
        <v>3258.511</v>
      </c>
      <c r="D44" s="10"/>
      <c r="E44" s="9">
        <f t="shared" si="0"/>
        <v>0</v>
      </c>
      <c r="F44" s="9">
        <f t="shared" si="1"/>
        <v>-3258.511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44.799900000000001</v>
      </c>
      <c r="E45" s="9">
        <f t="shared" si="0"/>
        <v>24.392447036147725</v>
      </c>
      <c r="F45" s="9">
        <f t="shared" si="1"/>
        <v>-138.8631</v>
      </c>
    </row>
    <row r="46" spans="1:7" ht="23.25" customHeight="1">
      <c r="A46" s="16">
        <v>2020400000</v>
      </c>
      <c r="B46" s="17" t="s">
        <v>21</v>
      </c>
      <c r="C46" s="12">
        <v>293.7</v>
      </c>
      <c r="D46" s="188"/>
      <c r="E46" s="9">
        <f t="shared" si="0"/>
        <v>0</v>
      </c>
      <c r="F46" s="9">
        <f t="shared" si="1"/>
        <v>-293.7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/>
      <c r="E48" s="9">
        <f t="shared" si="0"/>
        <v>0</v>
      </c>
      <c r="F48" s="9">
        <f t="shared" si="1"/>
        <v>-168.02561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7442.3996100000004</v>
      </c>
      <c r="D51" s="5">
        <f>D40+D41</f>
        <v>847.35973000000001</v>
      </c>
      <c r="E51" s="93">
        <f t="shared" si="0"/>
        <v>11.385571514615297</v>
      </c>
      <c r="F51" s="93">
        <f t="shared" si="1"/>
        <v>-6595.0398800000003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282.05297000000007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402</v>
      </c>
      <c r="D54" s="180" t="s">
        <v>413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182.02544</v>
      </c>
      <c r="E56" s="34">
        <f>SUM(D56/C56*100)</f>
        <v>15.399561935234434</v>
      </c>
      <c r="F56" s="34">
        <f>SUM(D56-C56)</f>
        <v>-999.99156000000005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182.02544</v>
      </c>
      <c r="E58" s="38">
        <f t="shared" ref="E58:E98" si="3">SUM(D58/C58*100)</f>
        <v>15.887705332984201</v>
      </c>
      <c r="F58" s="38">
        <f t="shared" ref="F58:F98" si="4">SUM(D58-C58)</f>
        <v>-963.67456000000004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0</v>
      </c>
      <c r="E63" s="38">
        <f t="shared" si="3"/>
        <v>0</v>
      </c>
      <c r="F63" s="38">
        <f t="shared" si="4"/>
        <v>-3.3170000000000002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36.386510000000001</v>
      </c>
      <c r="E64" s="34">
        <f t="shared" si="3"/>
        <v>20.138314063857695</v>
      </c>
      <c r="F64" s="34">
        <f t="shared" si="4"/>
        <v>-144.29649000000001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36.386510000000001</v>
      </c>
      <c r="E65" s="38">
        <f t="shared" si="3"/>
        <v>20.138314063857695</v>
      </c>
      <c r="F65" s="38">
        <f t="shared" si="4"/>
        <v>-144.29649000000001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5402.6586900000002</v>
      </c>
      <c r="D72" s="48">
        <f>SUM(D73:D77)</f>
        <v>48.056000000000004</v>
      </c>
      <c r="E72" s="34">
        <f t="shared" si="3"/>
        <v>0.88948798651576499</v>
      </c>
      <c r="F72" s="34">
        <f t="shared" si="4"/>
        <v>-5354.6026900000006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345.7</v>
      </c>
      <c r="D74" s="37">
        <v>2</v>
      </c>
      <c r="E74" s="38">
        <f t="shared" si="3"/>
        <v>0.57853630315302285</v>
      </c>
      <c r="F74" s="38">
        <f t="shared" si="4"/>
        <v>-343.7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5019.80069</v>
      </c>
      <c r="D76" s="37">
        <v>41.456000000000003</v>
      </c>
      <c r="E76" s="38">
        <f t="shared" si="3"/>
        <v>0.8258495219259393</v>
      </c>
      <c r="F76" s="38">
        <f t="shared" si="4"/>
        <v>-4978.3446899999999</v>
      </c>
    </row>
    <row r="77" spans="1:7">
      <c r="A77" s="35" t="s">
        <v>63</v>
      </c>
      <c r="B77" s="39" t="s">
        <v>64</v>
      </c>
      <c r="C77" s="49">
        <v>30</v>
      </c>
      <c r="D77" s="37">
        <v>4.5999999999999996</v>
      </c>
      <c r="E77" s="38">
        <f t="shared" si="3"/>
        <v>15.333333333333332</v>
      </c>
      <c r="F77" s="38">
        <f t="shared" si="4"/>
        <v>-25.4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261.15336000000002</v>
      </c>
      <c r="D78" s="32">
        <f>SUM(D79:D81)</f>
        <v>16.285810000000001</v>
      </c>
      <c r="E78" s="34">
        <f t="shared" si="3"/>
        <v>6.2361096943190777</v>
      </c>
      <c r="F78" s="34">
        <f t="shared" si="4"/>
        <v>-244.86755000000002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idden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261.15336000000002</v>
      </c>
      <c r="D81" s="37">
        <v>16.285810000000001</v>
      </c>
      <c r="E81" s="38">
        <f t="shared" si="3"/>
        <v>6.2361096943190777</v>
      </c>
      <c r="F81" s="38">
        <f t="shared" si="4"/>
        <v>-244.86755000000002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282.553</v>
      </c>
      <c r="E82" s="34">
        <f t="shared" si="3"/>
        <v>24.567689766107296</v>
      </c>
      <c r="F82" s="34">
        <f t="shared" si="4"/>
        <v>-867.54699999999991</v>
      </c>
    </row>
    <row r="83" spans="1:6" ht="14.25" customHeight="1">
      <c r="A83" s="35" t="s">
        <v>85</v>
      </c>
      <c r="B83" s="39" t="s">
        <v>229</v>
      </c>
      <c r="C83" s="37">
        <v>1150.0999999999999</v>
      </c>
      <c r="D83" s="37">
        <v>282.553</v>
      </c>
      <c r="E83" s="38">
        <f t="shared" si="3"/>
        <v>24.567689766107296</v>
      </c>
      <c r="F83" s="38">
        <f t="shared" si="4"/>
        <v>-867.54699999999991</v>
      </c>
    </row>
    <row r="84" spans="1:6" s="6" customFormat="1" ht="22.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8184.6120499999997</v>
      </c>
      <c r="D98" s="102">
        <f>D56+D64+D66+D72+D78+D82+D96+D84</f>
        <v>565.30675999999994</v>
      </c>
      <c r="E98" s="34">
        <f t="shared" si="3"/>
        <v>6.9069463103019038</v>
      </c>
      <c r="F98" s="34">
        <f t="shared" si="4"/>
        <v>-7619.3052900000002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97" sqref="C9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3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2"/>
  <sheetViews>
    <sheetView view="pageBreakPreview" topLeftCell="A10" zoomScale="70" zoomScaleNormal="100" zoomScaleSheetLayoutView="70" workbookViewId="0">
      <selection activeCell="C87" sqref="C87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423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131.52450999999999</v>
      </c>
      <c r="E4" s="5">
        <f>SUM(D4/C4*100)</f>
        <v>12.639295598693062</v>
      </c>
      <c r="F4" s="5">
        <f>SUM(D4-C4)</f>
        <v>-909.07548999999995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1.98447</v>
      </c>
      <c r="E5" s="5">
        <f t="shared" ref="E5:E49" si="0">SUM(D5/C5*100)</f>
        <v>2.6708882907133242</v>
      </c>
      <c r="F5" s="5">
        <f t="shared" ref="F5:F49" si="1">SUM(D5-C5)</f>
        <v>-72.315529999999995</v>
      </c>
    </row>
    <row r="6" spans="1:6">
      <c r="A6" s="7">
        <v>1010200001</v>
      </c>
      <c r="B6" s="8" t="s">
        <v>224</v>
      </c>
      <c r="C6" s="9">
        <v>74.3</v>
      </c>
      <c r="D6" s="10">
        <v>1.98447</v>
      </c>
      <c r="E6" s="9">
        <f t="shared" ref="E6:E11" si="2">SUM(D6/C6*100)</f>
        <v>2.6708882907133242</v>
      </c>
      <c r="F6" s="9">
        <f t="shared" si="1"/>
        <v>-72.315529999999995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5">
        <f>D8+D10+D9+D11</f>
        <v>89.399509999999992</v>
      </c>
      <c r="E7" s="5">
        <f t="shared" si="2"/>
        <v>23.142508413150399</v>
      </c>
      <c r="F7" s="5">
        <f t="shared" si="1"/>
        <v>-296.90048999999999</v>
      </c>
    </row>
    <row r="8" spans="1:6">
      <c r="A8" s="7">
        <v>1030223001</v>
      </c>
      <c r="B8" s="8" t="s">
        <v>268</v>
      </c>
      <c r="C8" s="9">
        <v>144.09</v>
      </c>
      <c r="D8" s="10">
        <v>40.571309999999997</v>
      </c>
      <c r="E8" s="9">
        <f t="shared" si="2"/>
        <v>28.156922756610449</v>
      </c>
      <c r="F8" s="9">
        <f t="shared" si="1"/>
        <v>-103.51869000000001</v>
      </c>
    </row>
    <row r="9" spans="1:6">
      <c r="A9" s="7">
        <v>1030224001</v>
      </c>
      <c r="B9" s="8" t="s">
        <v>274</v>
      </c>
      <c r="C9" s="9">
        <v>1.55</v>
      </c>
      <c r="D9" s="10">
        <v>0.26449</v>
      </c>
      <c r="E9" s="9">
        <f t="shared" si="2"/>
        <v>17.063870967741934</v>
      </c>
      <c r="F9" s="9">
        <f t="shared" si="1"/>
        <v>-1.2855099999999999</v>
      </c>
    </row>
    <row r="10" spans="1:6">
      <c r="A10" s="7">
        <v>1030225001</v>
      </c>
      <c r="B10" s="8" t="s">
        <v>267</v>
      </c>
      <c r="C10" s="9">
        <v>240.66</v>
      </c>
      <c r="D10" s="10">
        <v>56.943989999999999</v>
      </c>
      <c r="E10" s="9">
        <f t="shared" si="2"/>
        <v>23.661593118922962</v>
      </c>
      <c r="F10" s="9">
        <f t="shared" si="1"/>
        <v>-183.71600999999998</v>
      </c>
    </row>
    <row r="11" spans="1:6">
      <c r="A11" s="7">
        <v>1030226001</v>
      </c>
      <c r="B11" s="8" t="s">
        <v>276</v>
      </c>
      <c r="C11" s="9">
        <v>0</v>
      </c>
      <c r="D11" s="10">
        <v>-8.3802800000000008</v>
      </c>
      <c r="E11" s="9" t="e">
        <f t="shared" si="2"/>
        <v>#DIV/0!</v>
      </c>
      <c r="F11" s="9">
        <f t="shared" si="1"/>
        <v>-8.3802800000000008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1.1193</v>
      </c>
      <c r="E12" s="5">
        <f t="shared" si="0"/>
        <v>22.385999999999999</v>
      </c>
      <c r="F12" s="5">
        <f t="shared" si="1"/>
        <v>-3.8807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1.1193</v>
      </c>
      <c r="E13" s="9">
        <f t="shared" si="0"/>
        <v>22.385999999999999</v>
      </c>
      <c r="F13" s="9">
        <f t="shared" si="1"/>
        <v>-3.8807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37.171229999999994</v>
      </c>
      <c r="E14" s="5">
        <f t="shared" si="0"/>
        <v>6.521268421052631</v>
      </c>
      <c r="F14" s="5">
        <f t="shared" si="1"/>
        <v>-532.82876999999996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3.8753700000000002</v>
      </c>
      <c r="E15" s="9">
        <f t="shared" si="0"/>
        <v>2.0396684210526317</v>
      </c>
      <c r="F15" s="9">
        <f>SUM(D15-C15)</f>
        <v>-186.12463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33.295859999999998</v>
      </c>
      <c r="E16" s="9">
        <f t="shared" si="0"/>
        <v>8.7620684210526303</v>
      </c>
      <c r="F16" s="9">
        <f t="shared" si="1"/>
        <v>-346.70414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1.85</v>
      </c>
      <c r="E17" s="5">
        <f t="shared" si="0"/>
        <v>37</v>
      </c>
      <c r="F17" s="5">
        <f t="shared" si="1"/>
        <v>-3.15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1.85</v>
      </c>
      <c r="E18" s="9">
        <f t="shared" si="0"/>
        <v>37</v>
      </c>
      <c r="F18" s="9">
        <f t="shared" si="1"/>
        <v>-3.15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77</v>
      </c>
      <c r="D25" s="5">
        <f>D27+D29+D34</f>
        <v>5.3333000000000004</v>
      </c>
      <c r="E25" s="5">
        <f t="shared" si="0"/>
        <v>6.9263636363636376</v>
      </c>
      <c r="F25" s="5">
        <f t="shared" si="1"/>
        <v>-71.666700000000006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5.3333000000000004</v>
      </c>
      <c r="E26" s="5">
        <f t="shared" si="0"/>
        <v>6.9263636363636376</v>
      </c>
      <c r="F26" s="5">
        <f t="shared" si="1"/>
        <v>-71.666700000000006</v>
      </c>
    </row>
    <row r="27" spans="1:6" ht="17.25" customHeight="1">
      <c r="A27" s="16">
        <v>1110502510</v>
      </c>
      <c r="B27" s="17" t="s">
        <v>221</v>
      </c>
      <c r="C27" s="12">
        <v>77</v>
      </c>
      <c r="D27" s="10">
        <v>5.3333000000000004</v>
      </c>
      <c r="E27" s="9">
        <f t="shared" si="0"/>
        <v>6.9263636363636376</v>
      </c>
      <c r="F27" s="9">
        <f t="shared" si="1"/>
        <v>-71.666700000000006</v>
      </c>
    </row>
    <row r="28" spans="1:6" ht="0.75" hidden="1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 hidden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idden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16.5" hidden="1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idden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1.5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8.75" customHeight="1">
      <c r="A37" s="3">
        <v>1000000000</v>
      </c>
      <c r="B37" s="4" t="s">
        <v>16</v>
      </c>
      <c r="C37" s="127">
        <f>SUM(C4,C25)</f>
        <v>1117.5999999999999</v>
      </c>
      <c r="D37" s="127">
        <f>D4+D25</f>
        <v>136.85781</v>
      </c>
      <c r="E37" s="5">
        <f t="shared" si="0"/>
        <v>12.245688081603436</v>
      </c>
      <c r="F37" s="5">
        <f t="shared" si="1"/>
        <v>-980.74218999999994</v>
      </c>
    </row>
    <row r="38" spans="1:7" s="6" customFormat="1">
      <c r="A38" s="3">
        <v>2000000000</v>
      </c>
      <c r="B38" s="4" t="s">
        <v>17</v>
      </c>
      <c r="C38" s="5">
        <f>C39+C41+C42+C43+C44+C45</f>
        <v>4059.5485900000003</v>
      </c>
      <c r="D38" s="5">
        <f>D39+D41+D42+D43+D45+D44</f>
        <v>605.32539999999995</v>
      </c>
      <c r="E38" s="5">
        <f t="shared" si="0"/>
        <v>14.911150503066153</v>
      </c>
      <c r="F38" s="5">
        <f t="shared" si="1"/>
        <v>-3454.2231900000006</v>
      </c>
      <c r="G38" s="19"/>
    </row>
    <row r="39" spans="1:7" ht="14.25" customHeight="1">
      <c r="A39" s="16">
        <v>2021000000</v>
      </c>
      <c r="B39" s="17" t="s">
        <v>18</v>
      </c>
      <c r="C39" s="99">
        <v>1358.5</v>
      </c>
      <c r="D39" s="99">
        <v>339.61799999999999</v>
      </c>
      <c r="E39" s="9">
        <f t="shared" si="0"/>
        <v>24.999484725800514</v>
      </c>
      <c r="F39" s="9">
        <f t="shared" si="1"/>
        <v>-1018.8820000000001</v>
      </c>
    </row>
    <row r="40" spans="1:7" ht="15.75" hidden="1" customHeight="1">
      <c r="A40" s="16">
        <v>2020100310</v>
      </c>
      <c r="B40" s="17" t="s">
        <v>227</v>
      </c>
      <c r="C40" s="99"/>
      <c r="D40" s="20">
        <v>0</v>
      </c>
      <c r="E40" s="9" t="e">
        <f t="shared" si="0"/>
        <v>#DIV/0!</v>
      </c>
      <c r="F40" s="9">
        <f t="shared" si="1"/>
        <v>0</v>
      </c>
    </row>
    <row r="41" spans="1:7" ht="15.75" customHeight="1">
      <c r="A41" s="16">
        <v>2021500200</v>
      </c>
      <c r="B41" s="17" t="s">
        <v>227</v>
      </c>
      <c r="C41" s="99">
        <v>466</v>
      </c>
      <c r="D41" s="20">
        <v>0</v>
      </c>
      <c r="E41" s="9">
        <f t="shared" si="0"/>
        <v>0</v>
      </c>
      <c r="F41" s="9">
        <f t="shared" si="1"/>
        <v>-466</v>
      </c>
    </row>
    <row r="42" spans="1:7">
      <c r="A42" s="16">
        <v>2022000000</v>
      </c>
      <c r="B42" s="17" t="s">
        <v>19</v>
      </c>
      <c r="C42" s="471">
        <f>499.47+1522.5</f>
        <v>2021.97</v>
      </c>
      <c r="D42" s="10">
        <v>123.307</v>
      </c>
      <c r="E42" s="9">
        <f t="shared" si="0"/>
        <v>6.0983595206654897</v>
      </c>
      <c r="F42" s="9">
        <f t="shared" si="1"/>
        <v>-1898.663</v>
      </c>
    </row>
    <row r="43" spans="1:7" ht="17.25" customHeight="1">
      <c r="A43" s="16">
        <v>2023000000</v>
      </c>
      <c r="B43" s="17" t="s">
        <v>20</v>
      </c>
      <c r="C43" s="12">
        <v>93.322000000000003</v>
      </c>
      <c r="D43" s="187">
        <v>22.400400000000001</v>
      </c>
      <c r="E43" s="9">
        <f t="shared" si="0"/>
        <v>24.003343263110523</v>
      </c>
      <c r="F43" s="9">
        <f t="shared" si="1"/>
        <v>-70.921599999999998</v>
      </c>
    </row>
    <row r="44" spans="1:7" ht="13.5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customHeight="1">
      <c r="A45" s="16">
        <v>2070500010</v>
      </c>
      <c r="B45" s="8" t="s">
        <v>334</v>
      </c>
      <c r="C45" s="12">
        <v>119.75659</v>
      </c>
      <c r="D45" s="188">
        <v>120</v>
      </c>
      <c r="E45" s="9">
        <f t="shared" si="0"/>
        <v>100.20325395036716</v>
      </c>
      <c r="F45" s="9">
        <f t="shared" si="1"/>
        <v>0.24340999999999724</v>
      </c>
    </row>
    <row r="46" spans="1:7" ht="14.25" hidden="1" customHeight="1">
      <c r="A46" s="7">
        <v>2190500005</v>
      </c>
      <c r="B46" s="11" t="s">
        <v>23</v>
      </c>
      <c r="C46" s="14"/>
      <c r="D46" s="14"/>
      <c r="E46" s="5"/>
      <c r="F46" s="5">
        <f>SUM(D46-C46)</f>
        <v>0</v>
      </c>
    </row>
    <row r="47" spans="1:7" s="6" customFormat="1" ht="16.5" hidden="1" customHeight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7" s="6" customFormat="1" ht="21" hidden="1" customHeight="1">
      <c r="A48" s="3">
        <v>2190500010</v>
      </c>
      <c r="B48" s="13" t="s">
        <v>311</v>
      </c>
      <c r="C48" s="191">
        <v>0</v>
      </c>
      <c r="D48" s="14">
        <v>0</v>
      </c>
      <c r="E48" s="5"/>
      <c r="F48" s="5"/>
    </row>
    <row r="49" spans="1:8" s="6" customFormat="1" ht="16.5" customHeight="1">
      <c r="A49" s="3"/>
      <c r="B49" s="4" t="s">
        <v>25</v>
      </c>
      <c r="C49" s="194">
        <f>C37+C38</f>
        <v>5177.1485900000007</v>
      </c>
      <c r="D49" s="194">
        <f>D37+D38</f>
        <v>742.18320999999992</v>
      </c>
      <c r="E49" s="5">
        <f t="shared" si="0"/>
        <v>14.335752530525687</v>
      </c>
      <c r="F49" s="5">
        <f t="shared" si="1"/>
        <v>-4434.9653800000006</v>
      </c>
      <c r="G49" s="200"/>
      <c r="H49" s="249"/>
    </row>
    <row r="50" spans="1:8" s="6" customFormat="1" ht="15.75" customHeight="1">
      <c r="A50" s="3"/>
      <c r="B50" s="21" t="s">
        <v>306</v>
      </c>
      <c r="C50" s="194">
        <f>C49-C96</f>
        <v>-517.660249999999</v>
      </c>
      <c r="D50" s="194">
        <f>D49-D96</f>
        <v>163.87157999999988</v>
      </c>
      <c r="E50" s="22"/>
      <c r="F50" s="22"/>
    </row>
    <row r="51" spans="1:8">
      <c r="A51" s="23"/>
      <c r="B51" s="24"/>
      <c r="C51" s="115"/>
      <c r="D51" s="25"/>
      <c r="E51" s="26"/>
      <c r="F51" s="27"/>
    </row>
    <row r="52" spans="1:8" ht="32.25" customHeight="1">
      <c r="A52" s="28" t="s">
        <v>0</v>
      </c>
      <c r="B52" s="28" t="s">
        <v>26</v>
      </c>
      <c r="C52" s="184" t="s">
        <v>402</v>
      </c>
      <c r="D52" s="73" t="s">
        <v>413</v>
      </c>
      <c r="E52" s="72" t="s">
        <v>2</v>
      </c>
      <c r="F52" s="74" t="s">
        <v>3</v>
      </c>
    </row>
    <row r="53" spans="1:8">
      <c r="A53" s="29">
        <v>1</v>
      </c>
      <c r="B53" s="28">
        <v>2</v>
      </c>
      <c r="C53" s="87">
        <v>3</v>
      </c>
      <c r="D53" s="87">
        <v>4</v>
      </c>
      <c r="E53" s="87">
        <v>5</v>
      </c>
      <c r="F53" s="87">
        <v>6</v>
      </c>
    </row>
    <row r="54" spans="1:8" s="6" customFormat="1" ht="16.5" customHeight="1">
      <c r="A54" s="30" t="s">
        <v>27</v>
      </c>
      <c r="B54" s="31" t="s">
        <v>28</v>
      </c>
      <c r="C54" s="32">
        <f>C55+C56+C57+C58+C59+C61+C60</f>
        <v>1050.9929999999999</v>
      </c>
      <c r="D54" s="33">
        <f>D56+D61</f>
        <v>180.82956999999999</v>
      </c>
      <c r="E54" s="34">
        <f>SUM(D54/C54*100)</f>
        <v>17.205592235152849</v>
      </c>
      <c r="F54" s="34">
        <f>SUM(D54-C54)</f>
        <v>-870.16342999999995</v>
      </c>
    </row>
    <row r="55" spans="1:8" s="6" customFormat="1" ht="17.25" hidden="1" customHeight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1019.8</v>
      </c>
      <c r="D56" s="37">
        <v>180.82956999999999</v>
      </c>
      <c r="E56" s="38">
        <f>SUM(D56/C56*100)</f>
        <v>17.731866052167092</v>
      </c>
      <c r="F56" s="38">
        <f t="shared" ref="F56:F96" si="3">SUM(D56-C56)</f>
        <v>-838.97042999999996</v>
      </c>
    </row>
    <row r="57" spans="1:8" ht="0.7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3"/>
        <v>0</v>
      </c>
    </row>
    <row r="58" spans="1:8" ht="17.25" hidden="1" customHeight="1">
      <c r="A58" s="35" t="s">
        <v>35</v>
      </c>
      <c r="B58" s="39" t="s">
        <v>36</v>
      </c>
      <c r="C58" s="37"/>
      <c r="D58" s="37"/>
      <c r="E58" s="38" t="e">
        <f t="shared" ref="E58:E96" si="4">SUM(D58/C58*100)</f>
        <v>#DIV/0!</v>
      </c>
      <c r="F58" s="38">
        <f t="shared" si="3"/>
        <v>0</v>
      </c>
    </row>
    <row r="59" spans="1:8" ht="17.25" customHeight="1">
      <c r="A59" s="35" t="s">
        <v>37</v>
      </c>
      <c r="B59" s="39" t="s">
        <v>38</v>
      </c>
      <c r="C59" s="37">
        <v>19</v>
      </c>
      <c r="D59" s="37">
        <v>0</v>
      </c>
      <c r="E59" s="38">
        <f t="shared" si="4"/>
        <v>0</v>
      </c>
      <c r="F59" s="38">
        <f t="shared" si="3"/>
        <v>-19</v>
      </c>
    </row>
    <row r="60" spans="1:8" ht="15.7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4"/>
        <v>0</v>
      </c>
      <c r="F60" s="38">
        <f t="shared" si="3"/>
        <v>-5</v>
      </c>
    </row>
    <row r="61" spans="1:8" ht="17.25" customHeight="1">
      <c r="A61" s="35" t="s">
        <v>41</v>
      </c>
      <c r="B61" s="39" t="s">
        <v>42</v>
      </c>
      <c r="C61" s="37">
        <v>7.1929999999999996</v>
      </c>
      <c r="D61" s="37">
        <v>0</v>
      </c>
      <c r="E61" s="38">
        <f t="shared" si="4"/>
        <v>0</v>
      </c>
      <c r="F61" s="38">
        <f t="shared" si="3"/>
        <v>-7.1929999999999996</v>
      </c>
    </row>
    <row r="62" spans="1:8" s="6" customFormat="1" ht="17.850000000000001" customHeight="1">
      <c r="A62" s="41" t="s">
        <v>43</v>
      </c>
      <c r="B62" s="42" t="s">
        <v>44</v>
      </c>
      <c r="C62" s="32">
        <f>C63</f>
        <v>90.341999999999999</v>
      </c>
      <c r="D62" s="32">
        <f>D63</f>
        <v>17.79326</v>
      </c>
      <c r="E62" s="34">
        <f t="shared" si="4"/>
        <v>19.695446193354144</v>
      </c>
      <c r="F62" s="34">
        <f t="shared" si="3"/>
        <v>-72.548739999999995</v>
      </c>
    </row>
    <row r="63" spans="1:8" ht="17.850000000000001" customHeight="1">
      <c r="A63" s="43" t="s">
        <v>45</v>
      </c>
      <c r="B63" s="44" t="s">
        <v>46</v>
      </c>
      <c r="C63" s="37">
        <v>90.341999999999999</v>
      </c>
      <c r="D63" s="37">
        <v>17.79326</v>
      </c>
      <c r="E63" s="38">
        <f t="shared" si="4"/>
        <v>19.695446193354144</v>
      </c>
      <c r="F63" s="38">
        <f t="shared" si="3"/>
        <v>-72.548739999999995</v>
      </c>
    </row>
    <row r="64" spans="1:8" s="6" customFormat="1" ht="17.25" customHeight="1">
      <c r="A64" s="30" t="s">
        <v>47</v>
      </c>
      <c r="B64" s="31" t="s">
        <v>48</v>
      </c>
      <c r="C64" s="32">
        <f>C67+C68+C69</f>
        <v>6</v>
      </c>
      <c r="D64" s="32">
        <f>SUM(D67+D68+D69)</f>
        <v>0</v>
      </c>
      <c r="E64" s="34">
        <f t="shared" si="4"/>
        <v>0</v>
      </c>
      <c r="F64" s="34">
        <f t="shared" si="3"/>
        <v>-6</v>
      </c>
    </row>
    <row r="65" spans="1:7" ht="17.25" hidden="1" customHeight="1">
      <c r="A65" s="35" t="s">
        <v>49</v>
      </c>
      <c r="B65" s="39" t="s">
        <v>50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7.25" hidden="1" customHeight="1">
      <c r="A66" s="45" t="s">
        <v>51</v>
      </c>
      <c r="B66" s="39" t="s">
        <v>52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t="18" customHeight="1">
      <c r="A67" s="46" t="s">
        <v>53</v>
      </c>
      <c r="B67" s="47" t="s">
        <v>54</v>
      </c>
      <c r="C67" s="37">
        <v>2</v>
      </c>
      <c r="D67" s="37">
        <v>0</v>
      </c>
      <c r="E67" s="34">
        <f t="shared" si="4"/>
        <v>0</v>
      </c>
      <c r="F67" s="34">
        <f t="shared" si="3"/>
        <v>-2</v>
      </c>
    </row>
    <row r="68" spans="1:7" ht="18" customHeight="1">
      <c r="A68" s="46" t="s">
        <v>214</v>
      </c>
      <c r="B68" s="47" t="s">
        <v>215</v>
      </c>
      <c r="C68" s="37">
        <v>2</v>
      </c>
      <c r="D68" s="37">
        <v>0</v>
      </c>
      <c r="E68" s="38">
        <f t="shared" si="4"/>
        <v>0</v>
      </c>
      <c r="F68" s="38">
        <f t="shared" si="3"/>
        <v>-2</v>
      </c>
    </row>
    <row r="69" spans="1:7" ht="18" customHeight="1">
      <c r="A69" s="46" t="s">
        <v>339</v>
      </c>
      <c r="B69" s="47" t="s">
        <v>342</v>
      </c>
      <c r="C69" s="37">
        <v>2</v>
      </c>
      <c r="D69" s="37">
        <v>0</v>
      </c>
      <c r="E69" s="38"/>
      <c r="F69" s="38"/>
    </row>
    <row r="70" spans="1:7" s="6" customFormat="1" ht="15.75" customHeight="1">
      <c r="A70" s="30" t="s">
        <v>55</v>
      </c>
      <c r="B70" s="31" t="s">
        <v>56</v>
      </c>
      <c r="C70" s="48">
        <f>SUM(C71:C74)</f>
        <v>3038.7373399999997</v>
      </c>
      <c r="D70" s="48">
        <f>D71+D72+D73+D74</f>
        <v>141.00800000000001</v>
      </c>
      <c r="E70" s="34">
        <f t="shared" si="4"/>
        <v>4.640348415240128</v>
      </c>
      <c r="F70" s="34">
        <f t="shared" si="3"/>
        <v>-2897.7293399999999</v>
      </c>
    </row>
    <row r="71" spans="1:7" ht="16.5" customHeight="1">
      <c r="A71" s="35" t="s">
        <v>57</v>
      </c>
      <c r="B71" s="39" t="s">
        <v>58</v>
      </c>
      <c r="C71" s="49">
        <v>7.1580000000000004</v>
      </c>
      <c r="D71" s="37">
        <v>0</v>
      </c>
      <c r="E71" s="38">
        <f t="shared" si="4"/>
        <v>0</v>
      </c>
      <c r="F71" s="38">
        <f t="shared" si="3"/>
        <v>-7.1580000000000004</v>
      </c>
    </row>
    <row r="72" spans="1:7" s="6" customFormat="1" ht="19.5" customHeight="1">
      <c r="A72" s="35" t="s">
        <v>59</v>
      </c>
      <c r="B72" s="39" t="s">
        <v>60</v>
      </c>
      <c r="C72" s="49">
        <v>1149.7</v>
      </c>
      <c r="D72" s="37">
        <v>0</v>
      </c>
      <c r="E72" s="38">
        <f t="shared" si="4"/>
        <v>0</v>
      </c>
      <c r="F72" s="38">
        <f t="shared" si="3"/>
        <v>-1149.7</v>
      </c>
      <c r="G72" s="50"/>
    </row>
    <row r="73" spans="1:7" ht="17.25" customHeight="1">
      <c r="A73" s="35" t="s">
        <v>61</v>
      </c>
      <c r="B73" s="39" t="s">
        <v>62</v>
      </c>
      <c r="C73" s="49">
        <v>1881.87934</v>
      </c>
      <c r="D73" s="37">
        <v>141.00800000000001</v>
      </c>
      <c r="E73" s="38">
        <f t="shared" si="4"/>
        <v>7.4929352271862451</v>
      </c>
      <c r="F73" s="38">
        <f t="shared" si="3"/>
        <v>-1740.8713399999999</v>
      </c>
    </row>
    <row r="74" spans="1:7" ht="15.75" customHeight="1">
      <c r="A74" s="35" t="s">
        <v>63</v>
      </c>
      <c r="B74" s="39" t="s">
        <v>64</v>
      </c>
      <c r="C74" s="49">
        <v>0</v>
      </c>
      <c r="D74" s="37">
        <v>0</v>
      </c>
      <c r="E74" s="38" t="e">
        <f t="shared" si="4"/>
        <v>#DIV/0!</v>
      </c>
      <c r="F74" s="38">
        <f t="shared" si="3"/>
        <v>0</v>
      </c>
    </row>
    <row r="75" spans="1:7" s="6" customFormat="1" ht="18" customHeight="1">
      <c r="A75" s="30" t="s">
        <v>65</v>
      </c>
      <c r="B75" s="31" t="s">
        <v>66</v>
      </c>
      <c r="C75" s="32">
        <f>SUM(C76:C78)</f>
        <v>462.93650000000002</v>
      </c>
      <c r="D75" s="32">
        <f>D78</f>
        <v>0</v>
      </c>
      <c r="E75" s="34">
        <f t="shared" si="4"/>
        <v>0</v>
      </c>
      <c r="F75" s="34">
        <f t="shared" si="3"/>
        <v>-462.93650000000002</v>
      </c>
    </row>
    <row r="76" spans="1:7" ht="15.75" hidden="1" customHeight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ht="15.75" hidden="1" customHeight="1">
      <c r="A77" s="35" t="s">
        <v>69</v>
      </c>
      <c r="B77" s="51" t="s">
        <v>70</v>
      </c>
      <c r="C77" s="37">
        <v>0</v>
      </c>
      <c r="D77" s="37"/>
      <c r="E77" s="38" t="e">
        <f t="shared" si="4"/>
        <v>#DIV/0!</v>
      </c>
      <c r="F77" s="38">
        <f t="shared" si="3"/>
        <v>0</v>
      </c>
    </row>
    <row r="78" spans="1:7" ht="17.850000000000001" customHeight="1">
      <c r="A78" s="35" t="s">
        <v>71</v>
      </c>
      <c r="B78" s="39" t="s">
        <v>72</v>
      </c>
      <c r="C78" s="37">
        <v>462.93650000000002</v>
      </c>
      <c r="D78" s="37">
        <v>0</v>
      </c>
      <c r="E78" s="38">
        <f t="shared" si="4"/>
        <v>0</v>
      </c>
      <c r="F78" s="38">
        <f t="shared" si="3"/>
        <v>-462.93650000000002</v>
      </c>
    </row>
    <row r="79" spans="1:7" s="6" customFormat="1" ht="17.850000000000001" customHeight="1">
      <c r="A79" s="30" t="s">
        <v>83</v>
      </c>
      <c r="B79" s="31" t="s">
        <v>84</v>
      </c>
      <c r="C79" s="32">
        <f>C80</f>
        <v>1043.8</v>
      </c>
      <c r="D79" s="32">
        <f>D80</f>
        <v>238.6808</v>
      </c>
      <c r="E79" s="34">
        <f t="shared" si="4"/>
        <v>22.866526154435718</v>
      </c>
      <c r="F79" s="34">
        <f t="shared" si="3"/>
        <v>-805.11919999999998</v>
      </c>
    </row>
    <row r="80" spans="1:7" ht="15" customHeight="1">
      <c r="A80" s="35" t="s">
        <v>85</v>
      </c>
      <c r="B80" s="39" t="s">
        <v>229</v>
      </c>
      <c r="C80" s="37">
        <v>1043.8</v>
      </c>
      <c r="D80" s="37">
        <v>238.6808</v>
      </c>
      <c r="E80" s="38">
        <f t="shared" si="4"/>
        <v>22.866526154435718</v>
      </c>
      <c r="F80" s="38">
        <f t="shared" si="3"/>
        <v>-805.11919999999998</v>
      </c>
    </row>
    <row r="81" spans="1:8" s="6" customFormat="1" ht="0.75" hidden="1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4"/>
        <v>#DIV/0!</v>
      </c>
      <c r="F81" s="34">
        <f t="shared" si="3"/>
        <v>0</v>
      </c>
    </row>
    <row r="82" spans="1:8" ht="0.75" hidden="1" customHeight="1">
      <c r="A82" s="53">
        <v>1001</v>
      </c>
      <c r="B82" s="54" t="s">
        <v>87</v>
      </c>
      <c r="C82" s="37"/>
      <c r="D82" s="37"/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53">
        <v>1004</v>
      </c>
      <c r="B84" s="54" t="s">
        <v>89</v>
      </c>
      <c r="C84" s="37"/>
      <c r="D84" s="55"/>
      <c r="E84" s="38" t="e">
        <f t="shared" si="4"/>
        <v>#DIV/0!</v>
      </c>
      <c r="F84" s="38">
        <f t="shared" si="3"/>
        <v>0</v>
      </c>
    </row>
    <row r="85" spans="1:8" ht="17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3"/>
        <v>0</v>
      </c>
    </row>
    <row r="86" spans="1:8" ht="17.850000000000001" customHeight="1">
      <c r="A86" s="30" t="s">
        <v>92</v>
      </c>
      <c r="B86" s="31" t="s">
        <v>93</v>
      </c>
      <c r="C86" s="32">
        <f>C87+C88+C89+C90+C91</f>
        <v>2</v>
      </c>
      <c r="D86" s="32">
        <f>D87+D88+D89+D90+D91</f>
        <v>0</v>
      </c>
      <c r="E86" s="38">
        <f t="shared" si="4"/>
        <v>0</v>
      </c>
      <c r="F86" s="22">
        <f>F87+F88+F89+F90+F91</f>
        <v>-2</v>
      </c>
    </row>
    <row r="87" spans="1:8" ht="17.25" customHeight="1">
      <c r="A87" s="35" t="s">
        <v>94</v>
      </c>
      <c r="B87" s="39" t="s">
        <v>95</v>
      </c>
      <c r="C87" s="37">
        <v>2</v>
      </c>
      <c r="D87" s="37">
        <v>0</v>
      </c>
      <c r="E87" s="38">
        <f t="shared" si="4"/>
        <v>0</v>
      </c>
      <c r="F87" s="38">
        <f>SUM(D87-C87)</f>
        <v>-2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>
        <f>SUM(D88-C88)</f>
        <v>0</v>
      </c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ht="15.75" hidden="1" customHeight="1">
      <c r="A91" s="35" t="s">
        <v>102</v>
      </c>
      <c r="B91" s="39" t="s">
        <v>103</v>
      </c>
      <c r="C91" s="37"/>
      <c r="D91" s="37"/>
      <c r="E91" s="38" t="e">
        <f t="shared" si="4"/>
        <v>#DIV/0!</v>
      </c>
      <c r="F91" s="38"/>
    </row>
    <row r="92" spans="1:8" s="6" customFormat="1" ht="15.75" hidden="1" customHeight="1">
      <c r="A92" s="52">
        <v>1400</v>
      </c>
      <c r="B92" s="56" t="s">
        <v>112</v>
      </c>
      <c r="C92" s="48">
        <f>C93+C94+C95</f>
        <v>0</v>
      </c>
      <c r="D92" s="48">
        <f>SUM(D93:D95)</f>
        <v>0</v>
      </c>
      <c r="E92" s="34" t="e">
        <f t="shared" si="4"/>
        <v>#DIV/0!</v>
      </c>
      <c r="F92" s="34">
        <f t="shared" si="3"/>
        <v>0</v>
      </c>
    </row>
    <row r="93" spans="1:8" ht="15.75" hidden="1" customHeight="1">
      <c r="A93" s="53">
        <v>1401</v>
      </c>
      <c r="B93" s="54" t="s">
        <v>113</v>
      </c>
      <c r="C93" s="49"/>
      <c r="D93" s="37"/>
      <c r="E93" s="38" t="e">
        <f t="shared" si="4"/>
        <v>#DIV/0!</v>
      </c>
      <c r="F93" s="38">
        <f t="shared" si="3"/>
        <v>0</v>
      </c>
    </row>
    <row r="94" spans="1:8" ht="18" hidden="1" customHeight="1">
      <c r="A94" s="53">
        <v>1402</v>
      </c>
      <c r="B94" s="54" t="s">
        <v>114</v>
      </c>
      <c r="C94" s="175"/>
      <c r="D94" s="176"/>
      <c r="E94" s="38" t="e">
        <f t="shared" si="4"/>
        <v>#DIV/0!</v>
      </c>
      <c r="F94" s="38">
        <f t="shared" si="3"/>
        <v>0</v>
      </c>
    </row>
    <row r="95" spans="1:8" ht="15.75" hidden="1" customHeight="1">
      <c r="A95" s="53">
        <v>1403</v>
      </c>
      <c r="B95" s="54" t="s">
        <v>115</v>
      </c>
      <c r="C95" s="49">
        <v>0</v>
      </c>
      <c r="D95" s="37">
        <v>0</v>
      </c>
      <c r="E95" s="38" t="e">
        <f t="shared" si="4"/>
        <v>#DIV/0!</v>
      </c>
      <c r="F95" s="38">
        <f t="shared" si="3"/>
        <v>0</v>
      </c>
    </row>
    <row r="96" spans="1:8" s="6" customFormat="1" ht="16.5" customHeight="1">
      <c r="A96" s="52"/>
      <c r="B96" s="57" t="s">
        <v>116</v>
      </c>
      <c r="C96" s="102">
        <f>C54+C62+C64+C70+C75+C79+C81+C86+C92</f>
        <v>5694.8088399999997</v>
      </c>
      <c r="D96" s="33">
        <f>D54+D62+D64+D70+D75+D79+D86</f>
        <v>578.31163000000004</v>
      </c>
      <c r="E96" s="34">
        <f t="shared" si="4"/>
        <v>10.155066592191355</v>
      </c>
      <c r="F96" s="34">
        <f t="shared" si="3"/>
        <v>-5116.4972099999995</v>
      </c>
      <c r="G96" s="249"/>
      <c r="H96" s="249"/>
    </row>
    <row r="97" spans="1:4" ht="20.25" customHeight="1">
      <c r="C97" s="126"/>
      <c r="D97" s="101"/>
    </row>
    <row r="98" spans="1:4" s="65" customFormat="1" ht="13.5" customHeight="1">
      <c r="A98" s="63" t="s">
        <v>117</v>
      </c>
      <c r="B98" s="63"/>
      <c r="C98" s="116"/>
      <c r="D98" s="64"/>
    </row>
    <row r="99" spans="1:4" s="65" customFormat="1" ht="12.75">
      <c r="A99" s="66" t="s">
        <v>118</v>
      </c>
      <c r="B99" s="66"/>
      <c r="C99" s="134" t="s">
        <v>119</v>
      </c>
      <c r="D99" s="134"/>
    </row>
    <row r="100" spans="1:4" ht="5.25" customHeight="1">
      <c r="C100" s="120"/>
    </row>
    <row r="142" hidden="1"/>
  </sheetData>
  <customSheetViews>
    <customSheetView guid="{61528DAC-5C4C-48F4-ADE2-8A724B05A086}" scale="70" showPageBreaks="1" hiddenRows="1" view="pageBreakPreview" topLeftCell="A10">
      <selection activeCell="C87" sqref="C8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3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4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7" zoomScale="70" zoomScaleNormal="100" zoomScaleSheetLayoutView="70" workbookViewId="0">
      <selection activeCell="D77" sqref="D77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424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213.10275000000001</v>
      </c>
      <c r="E4" s="5">
        <f>SUM(D4/C4*100)</f>
        <v>19.443681569343067</v>
      </c>
      <c r="F4" s="5">
        <f>SUM(D4-C4)</f>
        <v>-882.89724999999999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20.325659999999999</v>
      </c>
      <c r="E5" s="5">
        <f t="shared" ref="E5:E51" si="0">SUM(D5/C5*100)</f>
        <v>19.08512676056338</v>
      </c>
      <c r="F5" s="5">
        <f t="shared" ref="F5:F51" si="1">SUM(D5-C5)</f>
        <v>-86.174340000000001</v>
      </c>
    </row>
    <row r="6" spans="1:6">
      <c r="A6" s="7">
        <v>1010200001</v>
      </c>
      <c r="B6" s="8" t="s">
        <v>224</v>
      </c>
      <c r="C6" s="9">
        <v>106.5</v>
      </c>
      <c r="D6" s="10">
        <v>20.325659999999999</v>
      </c>
      <c r="E6" s="9">
        <f t="shared" ref="E6:E11" si="2">SUM(D6/C6*100)</f>
        <v>19.08512676056338</v>
      </c>
      <c r="F6" s="9">
        <f t="shared" si="1"/>
        <v>-86.174340000000001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85.282409999999999</v>
      </c>
      <c r="E7" s="9">
        <f t="shared" si="2"/>
        <v>23.143123473541383</v>
      </c>
      <c r="F7" s="9">
        <f t="shared" si="1"/>
        <v>-283.21758999999997</v>
      </c>
    </row>
    <row r="8" spans="1:6">
      <c r="A8" s="7">
        <v>1030223001</v>
      </c>
      <c r="B8" s="8" t="s">
        <v>268</v>
      </c>
      <c r="C8" s="9">
        <v>137.44999999999999</v>
      </c>
      <c r="D8" s="10">
        <v>38.702889999999996</v>
      </c>
      <c r="E8" s="9">
        <f t="shared" si="2"/>
        <v>28.157795562022553</v>
      </c>
      <c r="F8" s="9">
        <f t="shared" si="1"/>
        <v>-98.747109999999992</v>
      </c>
    </row>
    <row r="9" spans="1:6">
      <c r="A9" s="7">
        <v>1030224001</v>
      </c>
      <c r="B9" s="8" t="s">
        <v>274</v>
      </c>
      <c r="C9" s="9">
        <v>1.47</v>
      </c>
      <c r="D9" s="10">
        <v>0.25230999999999998</v>
      </c>
      <c r="E9" s="9">
        <f t="shared" si="2"/>
        <v>17.163945578231292</v>
      </c>
      <c r="F9" s="9">
        <f t="shared" si="1"/>
        <v>-1.2176899999999999</v>
      </c>
    </row>
    <row r="10" spans="1:6">
      <c r="A10" s="7">
        <v>1030225001</v>
      </c>
      <c r="B10" s="8" t="s">
        <v>267</v>
      </c>
      <c r="C10" s="9">
        <v>229.58</v>
      </c>
      <c r="D10" s="10">
        <v>54.321570000000001</v>
      </c>
      <c r="E10" s="9">
        <f t="shared" si="2"/>
        <v>23.661281470511366</v>
      </c>
      <c r="F10" s="9">
        <f t="shared" si="1"/>
        <v>-175.25843</v>
      </c>
    </row>
    <row r="11" spans="1:6">
      <c r="A11" s="7">
        <v>1030226001</v>
      </c>
      <c r="B11" s="8" t="s">
        <v>276</v>
      </c>
      <c r="C11" s="9">
        <v>0</v>
      </c>
      <c r="D11" s="10">
        <v>-7.9943600000000004</v>
      </c>
      <c r="E11" s="9" t="e">
        <f t="shared" si="2"/>
        <v>#DIV/0!</v>
      </c>
      <c r="F11" s="9">
        <f t="shared" si="1"/>
        <v>-7.9943600000000004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39.952500000000001</v>
      </c>
      <c r="E12" s="5">
        <f t="shared" si="0"/>
        <v>57.074999999999996</v>
      </c>
      <c r="F12" s="5">
        <f t="shared" si="1"/>
        <v>-30.047499999999999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39.952500000000001</v>
      </c>
      <c r="E13" s="9">
        <f t="shared" si="0"/>
        <v>57.074999999999996</v>
      </c>
      <c r="F13" s="9">
        <f t="shared" si="1"/>
        <v>-30.047499999999999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66.842179999999999</v>
      </c>
      <c r="E14" s="9">
        <f t="shared" si="0"/>
        <v>12.242157509157508</v>
      </c>
      <c r="F14" s="9">
        <f t="shared" si="1"/>
        <v>-479.15782000000002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2.2241200000000001</v>
      </c>
      <c r="E15" s="9">
        <f>SUM(D15/C15*100)</f>
        <v>2.3411789473684212</v>
      </c>
      <c r="F15" s="9">
        <f>SUM(D15-C14)</f>
        <v>-543.77588000000003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64.61806</v>
      </c>
      <c r="E16" s="9">
        <f t="shared" si="0"/>
        <v>14.327729490022174</v>
      </c>
      <c r="F16" s="9">
        <f t="shared" si="1"/>
        <v>-386.38193999999999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0.7</v>
      </c>
      <c r="E17" s="5">
        <f t="shared" si="0"/>
        <v>13.999999999999998</v>
      </c>
      <c r="F17" s="5">
        <f t="shared" si="1"/>
        <v>-4.3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0.7</v>
      </c>
      <c r="E18" s="9">
        <f t="shared" si="0"/>
        <v>13.999999999999998</v>
      </c>
      <c r="F18" s="9">
        <f t="shared" si="1"/>
        <v>-4.3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2.1145</v>
      </c>
      <c r="E25" s="5">
        <f t="shared" si="0"/>
        <v>1.7533167495854065</v>
      </c>
      <c r="F25" s="5">
        <f t="shared" si="1"/>
        <v>-118.48549999999999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0</v>
      </c>
      <c r="E26" s="5">
        <f t="shared" si="0"/>
        <v>0</v>
      </c>
      <c r="F26" s="5">
        <f t="shared" si="1"/>
        <v>-85.6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0</v>
      </c>
      <c r="E27" s="9">
        <f t="shared" si="0"/>
        <v>0</v>
      </c>
      <c r="F27" s="9">
        <f t="shared" si="1"/>
        <v>-85.6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2.1145</v>
      </c>
      <c r="E29" s="5">
        <f t="shared" si="0"/>
        <v>6.0414285714285718</v>
      </c>
      <c r="F29" s="5">
        <f t="shared" si="1"/>
        <v>-32.8855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2.1145</v>
      </c>
      <c r="E30" s="9">
        <f t="shared" si="0"/>
        <v>6.0414285714285718</v>
      </c>
      <c r="F30" s="9">
        <f t="shared" si="1"/>
        <v>-32.8855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215.21725000000001</v>
      </c>
      <c r="E40" s="5">
        <f t="shared" si="0"/>
        <v>17.690058359362158</v>
      </c>
      <c r="F40" s="5">
        <f t="shared" si="1"/>
        <v>-1001.3827499999999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8944.1378000000004</v>
      </c>
      <c r="D41" s="5">
        <f>D42+D44+D45+D46+D47+D48+D43+D50</f>
        <v>668.62229999999988</v>
      </c>
      <c r="E41" s="5">
        <f t="shared" si="0"/>
        <v>7.4755366582120395</v>
      </c>
      <c r="F41" s="5">
        <f t="shared" si="1"/>
        <v>-8275.5155000000013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516.09119999999996</v>
      </c>
      <c r="E42" s="9">
        <f t="shared" si="0"/>
        <v>24.999573726022088</v>
      </c>
      <c r="F42" s="9">
        <f t="shared" si="1"/>
        <v>-1548.3088000000002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f>825.377+1346.1</f>
        <v>2171.4769999999999</v>
      </c>
      <c r="D44" s="10">
        <v>130.131</v>
      </c>
      <c r="E44" s="9">
        <f>SUM(D44/C44*100)</f>
        <v>5.9927413460976107</v>
      </c>
      <c r="F44" s="9">
        <f t="shared" si="1"/>
        <v>-2041.3459999999998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22.400099999999998</v>
      </c>
      <c r="E45" s="9">
        <f t="shared" si="0"/>
        <v>23.698041746453242</v>
      </c>
      <c r="F45" s="9">
        <f t="shared" si="1"/>
        <v>-72.122900000000001</v>
      </c>
    </row>
    <row r="46" spans="1:7" ht="17.25" customHeight="1">
      <c r="A46" s="16">
        <v>2020400000</v>
      </c>
      <c r="B46" s="17" t="s">
        <v>21</v>
      </c>
      <c r="C46" s="12">
        <v>4613.7377999999999</v>
      </c>
      <c r="D46" s="188">
        <v>0</v>
      </c>
      <c r="E46" s="9">
        <f t="shared" si="0"/>
        <v>0</v>
      </c>
      <c r="F46" s="9">
        <f t="shared" si="1"/>
        <v>-4613.7377999999999</v>
      </c>
    </row>
    <row r="47" spans="1:7" ht="20.2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21.75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/>
      <c r="D50" s="10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93">
        <f>C40+C41</f>
        <v>10160.737800000001</v>
      </c>
      <c r="D51" s="462">
        <f>D40+D41</f>
        <v>883.83954999999992</v>
      </c>
      <c r="E51" s="93">
        <f t="shared" si="0"/>
        <v>8.6985764951045184</v>
      </c>
      <c r="F51" s="93">
        <f t="shared" si="1"/>
        <v>-9276.8982500000002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-423.5707599999987</v>
      </c>
      <c r="D52" s="93">
        <f>D51-D98</f>
        <v>81.679929999999786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402</v>
      </c>
      <c r="D54" s="180" t="s">
        <v>413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33">
        <f>D57+D58+D59+D60+D61+D63+D62</f>
        <v>266.87756999999999</v>
      </c>
      <c r="E56" s="34">
        <f>SUM(D56/C56*100)</f>
        <v>19.679495177417923</v>
      </c>
      <c r="F56" s="34">
        <f>SUM(D56-C56)</f>
        <v>-1089.2424300000002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266.87756999999999</v>
      </c>
      <c r="E58" s="38">
        <f t="shared" ref="E58:E98" si="3">SUM(D58/C58*100)</f>
        <v>20.204222121280942</v>
      </c>
      <c r="F58" s="38">
        <f t="shared" ref="F58:F98" si="4">SUM(D58-C58)</f>
        <v>-1054.02243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0</v>
      </c>
      <c r="E63" s="38">
        <f t="shared" si="3"/>
        <v>0</v>
      </c>
      <c r="F63" s="38">
        <f t="shared" si="4"/>
        <v>-3.22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32">
        <f>D65</f>
        <v>17.620609999999999</v>
      </c>
      <c r="E64" s="34">
        <f t="shared" si="3"/>
        <v>19.50412317501079</v>
      </c>
      <c r="F64" s="34">
        <f t="shared" si="4"/>
        <v>-72.722390000000004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17.620609999999999</v>
      </c>
      <c r="E65" s="38">
        <f t="shared" si="3"/>
        <v>19.50412317501079</v>
      </c>
      <c r="F65" s="38">
        <f t="shared" si="4"/>
        <v>-72.722390000000004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6</v>
      </c>
      <c r="D66" s="32">
        <f>SUM(D69+D70+D71)</f>
        <v>0.6</v>
      </c>
      <c r="E66" s="34">
        <f t="shared" si="3"/>
        <v>10</v>
      </c>
      <c r="F66" s="34">
        <f t="shared" si="4"/>
        <v>-5.4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1.6</v>
      </c>
      <c r="D69" s="37">
        <v>0</v>
      </c>
      <c r="E69" s="38">
        <f t="shared" si="3"/>
        <v>0</v>
      </c>
      <c r="F69" s="38">
        <f t="shared" si="4"/>
        <v>-1.6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0.6</v>
      </c>
      <c r="E70" s="38">
        <f t="shared" si="3"/>
        <v>25</v>
      </c>
      <c r="F70" s="38">
        <f t="shared" si="4"/>
        <v>-1.7999999999999998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4271.9687599999997</v>
      </c>
      <c r="D72" s="48">
        <f>SUM(D73:D76)</f>
        <v>206.59676000000002</v>
      </c>
      <c r="E72" s="34">
        <f t="shared" si="3"/>
        <v>4.8361018445275343</v>
      </c>
      <c r="F72" s="34">
        <f t="shared" si="4"/>
        <v>-4065.3719999999998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1341.4</v>
      </c>
      <c r="D74" s="37">
        <v>49.977760000000004</v>
      </c>
      <c r="E74" s="38">
        <f t="shared" si="3"/>
        <v>3.7257909646637839</v>
      </c>
      <c r="F74" s="38">
        <f t="shared" si="4"/>
        <v>-1291.4222400000001</v>
      </c>
      <c r="G74" s="50"/>
    </row>
    <row r="75" spans="1:7">
      <c r="A75" s="35" t="s">
        <v>61</v>
      </c>
      <c r="B75" s="39" t="s">
        <v>62</v>
      </c>
      <c r="C75" s="49">
        <v>2867.6477599999998</v>
      </c>
      <c r="D75" s="37">
        <v>149.619</v>
      </c>
      <c r="E75" s="38">
        <f t="shared" si="3"/>
        <v>5.2174818011818864</v>
      </c>
      <c r="F75" s="38">
        <f t="shared" si="4"/>
        <v>-2718.0287599999997</v>
      </c>
    </row>
    <row r="76" spans="1:7" ht="16.5" customHeight="1">
      <c r="A76" s="35" t="s">
        <v>63</v>
      </c>
      <c r="B76" s="39" t="s">
        <v>64</v>
      </c>
      <c r="C76" s="49">
        <v>52.9</v>
      </c>
      <c r="D76" s="37">
        <v>7</v>
      </c>
      <c r="E76" s="38">
        <f t="shared" si="3"/>
        <v>13.232514177693764</v>
      </c>
      <c r="F76" s="38">
        <f t="shared" si="4"/>
        <v>-45.9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3827.4767999999999</v>
      </c>
      <c r="D77" s="32">
        <f>SUM(D78:D80)</f>
        <v>51.54468</v>
      </c>
      <c r="E77" s="34">
        <f t="shared" si="3"/>
        <v>1.3467013046297236</v>
      </c>
      <c r="F77" s="34">
        <f t="shared" si="4"/>
        <v>-3775.9321199999999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>
      <c r="A80" s="35" t="s">
        <v>71</v>
      </c>
      <c r="B80" s="39" t="s">
        <v>72</v>
      </c>
      <c r="C80" s="37">
        <v>3827.4767999999999</v>
      </c>
      <c r="D80" s="37">
        <v>51.54468</v>
      </c>
      <c r="E80" s="38">
        <f t="shared" si="3"/>
        <v>1.3467013046297236</v>
      </c>
      <c r="F80" s="38">
        <f t="shared" si="4"/>
        <v>-3775.9321199999999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32">
        <f>SUM(D82)</f>
        <v>255.6</v>
      </c>
      <c r="E81" s="34">
        <f t="shared" si="3"/>
        <v>25</v>
      </c>
      <c r="F81" s="34">
        <f t="shared" si="4"/>
        <v>-766.8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255.6</v>
      </c>
      <c r="E82" s="38">
        <f t="shared" si="3"/>
        <v>25</v>
      </c>
      <c r="F82" s="38">
        <f t="shared" si="4"/>
        <v>-766.8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1">
        <f>C56+C64+C66+C72+C77+C81+C83+C88+C94</f>
        <v>10584.308559999999</v>
      </c>
      <c r="D98" s="473">
        <f>D56+D64+D66+D72+D77+D81+D83+D88+D94</f>
        <v>802.15962000000013</v>
      </c>
      <c r="E98" s="34">
        <f t="shared" si="3"/>
        <v>7.5787626130960062</v>
      </c>
      <c r="F98" s="34">
        <f t="shared" si="4"/>
        <v>-9782.1489399999991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77" sqref="D7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3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52" zoomScale="70" zoomScaleNormal="100" zoomScaleSheetLayoutView="70" workbookViewId="0">
      <selection activeCell="D74" sqref="D74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4" t="s">
        <v>425</v>
      </c>
      <c r="B1" s="524"/>
      <c r="C1" s="524"/>
      <c r="D1" s="524"/>
      <c r="E1" s="524"/>
      <c r="F1" s="524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123.00151999999999</v>
      </c>
      <c r="E4" s="5">
        <f>SUM(D4/C4*100)</f>
        <v>15.139952980564475</v>
      </c>
      <c r="F4" s="5">
        <f>SUM(D4-C4)</f>
        <v>-689.42848000000004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8.6143699999999992</v>
      </c>
      <c r="E5" s="5">
        <f t="shared" ref="E5:E51" si="0">SUM(D5/C5*100)</f>
        <v>19.445530474040631</v>
      </c>
      <c r="F5" s="5">
        <f t="shared" ref="F5:F51" si="1">SUM(D5-C5)</f>
        <v>-35.685629999999996</v>
      </c>
    </row>
    <row r="6" spans="1:6">
      <c r="A6" s="7">
        <v>1010200001</v>
      </c>
      <c r="B6" s="8" t="s">
        <v>224</v>
      </c>
      <c r="C6" s="9">
        <v>44.3</v>
      </c>
      <c r="D6" s="10">
        <v>8.6143699999999992</v>
      </c>
      <c r="E6" s="9">
        <f t="shared" ref="E6:E11" si="2">SUM(D6/C6*100)</f>
        <v>19.445530474040631</v>
      </c>
      <c r="F6" s="9">
        <f t="shared" si="1"/>
        <v>-35.685629999999996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87.046889999999991</v>
      </c>
      <c r="E7" s="5">
        <f t="shared" si="2"/>
        <v>23.14276712838646</v>
      </c>
      <c r="F7" s="5">
        <f t="shared" si="1"/>
        <v>-289.08311000000003</v>
      </c>
    </row>
    <row r="8" spans="1:6">
      <c r="A8" s="7">
        <v>1030223001</v>
      </c>
      <c r="B8" s="8" t="s">
        <v>268</v>
      </c>
      <c r="C8" s="9">
        <v>140.30000000000001</v>
      </c>
      <c r="D8" s="10">
        <v>39.503639999999997</v>
      </c>
      <c r="E8" s="9">
        <f t="shared" si="2"/>
        <v>28.156550249465429</v>
      </c>
      <c r="F8" s="9">
        <f t="shared" si="1"/>
        <v>-100.79636000000002</v>
      </c>
    </row>
    <row r="9" spans="1:6">
      <c r="A9" s="7">
        <v>1030224001</v>
      </c>
      <c r="B9" s="8" t="s">
        <v>274</v>
      </c>
      <c r="C9" s="9">
        <v>1.5</v>
      </c>
      <c r="D9" s="10">
        <v>0.25752999999999998</v>
      </c>
      <c r="E9" s="9">
        <f t="shared" si="2"/>
        <v>17.168666666666667</v>
      </c>
      <c r="F9" s="9">
        <f t="shared" si="1"/>
        <v>-1.24247</v>
      </c>
    </row>
    <row r="10" spans="1:6">
      <c r="A10" s="7">
        <v>1030225001</v>
      </c>
      <c r="B10" s="8" t="s">
        <v>267</v>
      </c>
      <c r="C10" s="9">
        <v>234.33</v>
      </c>
      <c r="D10" s="10">
        <v>55.445459999999997</v>
      </c>
      <c r="E10" s="9">
        <f t="shared" si="2"/>
        <v>23.66127256433235</v>
      </c>
      <c r="F10" s="9">
        <f t="shared" si="1"/>
        <v>-178.88454000000002</v>
      </c>
    </row>
    <row r="11" spans="1:6">
      <c r="A11" s="7">
        <v>1030226001</v>
      </c>
      <c r="B11" s="8" t="s">
        <v>276</v>
      </c>
      <c r="C11" s="9">
        <v>0</v>
      </c>
      <c r="D11" s="10">
        <v>-8.1597399999999993</v>
      </c>
      <c r="E11" s="9" t="e">
        <f t="shared" si="2"/>
        <v>#DIV/0!</v>
      </c>
      <c r="F11" s="9">
        <f t="shared" si="1"/>
        <v>-8.1597399999999993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0</v>
      </c>
      <c r="E12" s="5">
        <f t="shared" si="0"/>
        <v>0</v>
      </c>
      <c r="F12" s="5">
        <f t="shared" si="1"/>
        <v>-50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0</v>
      </c>
      <c r="E13" s="9">
        <f t="shared" si="0"/>
        <v>0</v>
      </c>
      <c r="F13" s="9">
        <f t="shared" si="1"/>
        <v>-50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26.940259999999999</v>
      </c>
      <c r="E14" s="5">
        <f t="shared" si="0"/>
        <v>7.9469793510324473</v>
      </c>
      <c r="F14" s="5">
        <f t="shared" si="1"/>
        <v>-312.05973999999998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3.9693100000000001</v>
      </c>
      <c r="E15" s="9">
        <f t="shared" si="0"/>
        <v>6.1066307692307698</v>
      </c>
      <c r="F15" s="9">
        <f>SUM(D15-C15)</f>
        <v>-61.03069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22.970949999999998</v>
      </c>
      <c r="E16" s="9">
        <f t="shared" si="0"/>
        <v>8.383558394160584</v>
      </c>
      <c r="F16" s="9">
        <f t="shared" si="1"/>
        <v>-251.02905000000001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0.4</v>
      </c>
      <c r="E17" s="5">
        <f t="shared" si="0"/>
        <v>13.333333333333334</v>
      </c>
      <c r="F17" s="5">
        <f t="shared" si="1"/>
        <v>-2.6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0.4</v>
      </c>
      <c r="E18" s="9">
        <f t="shared" si="0"/>
        <v>13.333333333333334</v>
      </c>
      <c r="F18" s="9">
        <f t="shared" si="1"/>
        <v>-2.6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78.318469999999991</v>
      </c>
      <c r="E25" s="5">
        <f t="shared" si="0"/>
        <v>39.356015075376881</v>
      </c>
      <c r="F25" s="5">
        <f t="shared" si="1"/>
        <v>-120.68153000000001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72.114599999999996</v>
      </c>
      <c r="E26" s="5">
        <f t="shared" si="0"/>
        <v>40.287486033519549</v>
      </c>
      <c r="F26" s="5">
        <f t="shared" si="1"/>
        <v>-106.8854</v>
      </c>
    </row>
    <row r="27" spans="1:6">
      <c r="A27" s="16">
        <v>1110502510</v>
      </c>
      <c r="B27" s="17" t="s">
        <v>221</v>
      </c>
      <c r="C27" s="12">
        <v>153</v>
      </c>
      <c r="D27" s="10">
        <v>65.611800000000002</v>
      </c>
      <c r="E27" s="9">
        <f t="shared" si="0"/>
        <v>42.883529411764712</v>
      </c>
      <c r="F27" s="9">
        <f t="shared" si="1"/>
        <v>-87.388199999999998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6.5027999999999997</v>
      </c>
      <c r="E28" s="9">
        <f t="shared" si="0"/>
        <v>25.010769230769231</v>
      </c>
      <c r="F28" s="9">
        <f t="shared" si="1"/>
        <v>-19.497199999999999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6.2038700000000002</v>
      </c>
      <c r="E29" s="5">
        <f t="shared" si="0"/>
        <v>31.019350000000003</v>
      </c>
      <c r="F29" s="5">
        <f t="shared" si="1"/>
        <v>-13.79613</v>
      </c>
    </row>
    <row r="30" spans="1:6">
      <c r="A30" s="7">
        <v>1130206005</v>
      </c>
      <c r="B30" s="8" t="s">
        <v>219</v>
      </c>
      <c r="C30" s="9">
        <v>20</v>
      </c>
      <c r="D30" s="10">
        <v>6.2038700000000002</v>
      </c>
      <c r="E30" s="9">
        <f t="shared" si="0"/>
        <v>31.019350000000003</v>
      </c>
      <c r="F30" s="9">
        <f t="shared" si="1"/>
        <v>-13.79613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3.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201.31998999999996</v>
      </c>
      <c r="E40" s="5">
        <f t="shared" si="0"/>
        <v>19.904490671623339</v>
      </c>
      <c r="F40" s="5">
        <f t="shared" si="1"/>
        <v>-810.1100100000001</v>
      </c>
    </row>
    <row r="41" spans="1:7" s="6" customFormat="1">
      <c r="A41" s="3">
        <v>2000000000</v>
      </c>
      <c r="B41" s="4" t="s">
        <v>17</v>
      </c>
      <c r="C41" s="5">
        <f>C42+C43+C44+C45+C46+C47+C50</f>
        <v>4570.5590000000002</v>
      </c>
      <c r="D41" s="5">
        <f>D42+D43+D44+D45+D46+D47+D50</f>
        <v>537.51710000000003</v>
      </c>
      <c r="E41" s="5">
        <f t="shared" si="0"/>
        <v>11.760423615579626</v>
      </c>
      <c r="F41" s="5">
        <f t="shared" si="1"/>
        <v>-4033.0419000000002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315.79500000000002</v>
      </c>
      <c r="E42" s="9">
        <f t="shared" si="0"/>
        <v>24.999604179860672</v>
      </c>
      <c r="F42" s="9">
        <f t="shared" si="1"/>
        <v>-947.40499999999997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0</v>
      </c>
      <c r="E43" s="9">
        <f t="shared" si="0"/>
        <v>0</v>
      </c>
      <c r="F43" s="9">
        <f t="shared" si="1"/>
        <v>-300</v>
      </c>
    </row>
    <row r="44" spans="1:7" ht="18" customHeight="1">
      <c r="A44" s="16">
        <v>2022000000</v>
      </c>
      <c r="B44" s="17" t="s">
        <v>19</v>
      </c>
      <c r="C44" s="12">
        <f>1078.827+1752</f>
        <v>2830.8270000000002</v>
      </c>
      <c r="D44" s="10">
        <v>116.72199999999999</v>
      </c>
      <c r="E44" s="9">
        <f t="shared" si="0"/>
        <v>4.1232473761201227</v>
      </c>
      <c r="F44" s="9">
        <f t="shared" si="1"/>
        <v>-2714.105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22.400099999999998</v>
      </c>
      <c r="E45" s="9">
        <f t="shared" si="0"/>
        <v>23.698292461014365</v>
      </c>
      <c r="F45" s="9">
        <f t="shared" si="1"/>
        <v>-72.121900000000011</v>
      </c>
    </row>
    <row r="46" spans="1:7" ht="27.75" customHeight="1">
      <c r="A46" s="16">
        <v>2024000000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194">
        <f>C40+C41</f>
        <v>5581.9890000000005</v>
      </c>
      <c r="D51" s="463">
        <f>D40+D41</f>
        <v>738.83708999999999</v>
      </c>
      <c r="E51" s="93">
        <f t="shared" si="0"/>
        <v>13.236090038873238</v>
      </c>
      <c r="F51" s="93">
        <f t="shared" si="1"/>
        <v>-4843.1519100000005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157.08979999999997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402</v>
      </c>
      <c r="D54" s="73" t="s">
        <v>413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33">
        <f>D57+D58+D59+D60+D61+D63+D62</f>
        <v>191.42214000000001</v>
      </c>
      <c r="E56" s="34">
        <f>SUM(D56/C56*100)</f>
        <v>16.204925422790431</v>
      </c>
      <c r="F56" s="34">
        <f>SUM(D56-C56)</f>
        <v>-989.83686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191.42214000000001</v>
      </c>
      <c r="E58" s="38">
        <f t="shared" ref="E58:E98" si="3">SUM(D58/C58*100)</f>
        <v>16.599214360041621</v>
      </c>
      <c r="F58" s="38">
        <f t="shared" ref="F58:F98" si="4">SUM(D58-C58)</f>
        <v>-961.77786000000003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0</v>
      </c>
      <c r="E63" s="38">
        <f t="shared" si="3"/>
        <v>0</v>
      </c>
      <c r="F63" s="38">
        <f t="shared" si="4"/>
        <v>-2.5419999999999998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17.795000000000002</v>
      </c>
      <c r="E64" s="34">
        <f t="shared" si="3"/>
        <v>19.697372207832462</v>
      </c>
      <c r="F64" s="34">
        <f t="shared" si="4"/>
        <v>-72.546999999999997</v>
      </c>
    </row>
    <row r="65" spans="1:9">
      <c r="A65" s="431" t="s">
        <v>45</v>
      </c>
      <c r="B65" s="44" t="s">
        <v>46</v>
      </c>
      <c r="C65" s="196">
        <v>90.341999999999999</v>
      </c>
      <c r="D65" s="196">
        <v>17.795000000000002</v>
      </c>
      <c r="E65" s="38">
        <f t="shared" si="3"/>
        <v>19.697372207832462</v>
      </c>
      <c r="F65" s="38">
        <f t="shared" si="4"/>
        <v>-72.546999999999997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2" t="s">
        <v>55</v>
      </c>
      <c r="B72" s="31" t="s">
        <v>56</v>
      </c>
      <c r="C72" s="33">
        <f>SUM(C73:C76)</f>
        <v>3759.1856700000003</v>
      </c>
      <c r="D72" s="33">
        <f>SUM(D73:D76)</f>
        <v>129.6909</v>
      </c>
      <c r="E72" s="34">
        <f t="shared" si="3"/>
        <v>3.4499732491265851</v>
      </c>
      <c r="F72" s="34">
        <f t="shared" si="4"/>
        <v>-3629.4947700000002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20</v>
      </c>
      <c r="D74" s="196">
        <v>0</v>
      </c>
      <c r="E74" s="38">
        <f t="shared" si="3"/>
        <v>0</v>
      </c>
      <c r="F74" s="38">
        <f t="shared" si="4"/>
        <v>-20</v>
      </c>
      <c r="G74" s="50"/>
    </row>
    <row r="75" spans="1:9">
      <c r="A75" s="35" t="s">
        <v>61</v>
      </c>
      <c r="B75" s="39" t="s">
        <v>62</v>
      </c>
      <c r="C75" s="196">
        <v>3729.1646700000001</v>
      </c>
      <c r="D75" s="196">
        <v>129.6909</v>
      </c>
      <c r="E75" s="38">
        <f t="shared" si="3"/>
        <v>3.4777466665208965</v>
      </c>
      <c r="F75" s="38">
        <f t="shared" si="4"/>
        <v>-3599.4737700000001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153</v>
      </c>
      <c r="D77" s="33">
        <f>SUM(D78:D80)</f>
        <v>32.83925</v>
      </c>
      <c r="E77" s="34">
        <f t="shared" si="3"/>
        <v>21.46356209150327</v>
      </c>
      <c r="F77" s="34">
        <f t="shared" si="4"/>
        <v>-120.16075000000001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8" hidden="1" customHeight="1">
      <c r="A79" s="35" t="s">
        <v>67</v>
      </c>
      <c r="B79" s="51" t="s">
        <v>70</v>
      </c>
      <c r="C79" s="196"/>
      <c r="D79" s="196"/>
      <c r="E79" s="38" t="e">
        <f t="shared" si="3"/>
        <v>#DIV/0!</v>
      </c>
      <c r="F79" s="38">
        <f t="shared" si="4"/>
        <v>0</v>
      </c>
    </row>
    <row r="80" spans="1:9">
      <c r="A80" s="35" t="s">
        <v>71</v>
      </c>
      <c r="B80" s="39" t="s">
        <v>72</v>
      </c>
      <c r="C80" s="196">
        <v>153</v>
      </c>
      <c r="D80" s="196">
        <v>32.83925</v>
      </c>
      <c r="E80" s="38">
        <f t="shared" si="3"/>
        <v>21.46356209150327</v>
      </c>
      <c r="F80" s="38">
        <f t="shared" si="4"/>
        <v>-120.16075000000001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210</v>
      </c>
      <c r="E81" s="34">
        <f t="shared" si="3"/>
        <v>25.228255646323884</v>
      </c>
      <c r="F81" s="34">
        <f t="shared" si="4"/>
        <v>-622.4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210</v>
      </c>
      <c r="E82" s="38">
        <f t="shared" si="3"/>
        <v>25.228255646323884</v>
      </c>
      <c r="F82" s="38">
        <f t="shared" si="4"/>
        <v>-622.4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6022.18667</v>
      </c>
      <c r="D98" s="33">
        <f>D56+D64+D66+D72+D77+D81+D88+D83</f>
        <v>581.74729000000002</v>
      </c>
      <c r="E98" s="34">
        <f t="shared" si="3"/>
        <v>9.6600673788147464</v>
      </c>
      <c r="F98" s="34">
        <f t="shared" si="4"/>
        <v>-5440.4393799999998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52">
      <selection activeCell="D74" sqref="D74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3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40" zoomScale="70" zoomScaleNormal="100" zoomScaleSheetLayoutView="70" workbookViewId="0">
      <selection activeCell="D81" sqref="D81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3" t="s">
        <v>426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43.5" customHeight="1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477.85652999999996</v>
      </c>
      <c r="E4" s="5">
        <f>SUM(D4/C4*100)</f>
        <v>15.958659671246417</v>
      </c>
      <c r="F4" s="5">
        <f>SUM(D4-C4)</f>
        <v>-2516.4834700000001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29.973749999999999</v>
      </c>
      <c r="E5" s="5">
        <f t="shared" ref="E5:E50" si="0">SUM(D5/C5*100)</f>
        <v>25.973786828422874</v>
      </c>
      <c r="F5" s="5">
        <f t="shared" ref="F5:F50" si="1">SUM(D5-C5)</f>
        <v>-85.42625000000001</v>
      </c>
    </row>
    <row r="6" spans="1:6">
      <c r="A6" s="7">
        <v>1010200001</v>
      </c>
      <c r="B6" s="8" t="s">
        <v>224</v>
      </c>
      <c r="C6" s="9">
        <v>115.4</v>
      </c>
      <c r="D6" s="10">
        <v>29.973749999999999</v>
      </c>
      <c r="E6" s="9">
        <f t="shared" ref="E6:E11" si="2">SUM(D6/C6*100)</f>
        <v>25.973786828422874</v>
      </c>
      <c r="F6" s="9">
        <f t="shared" si="1"/>
        <v>-85.42625000000001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5">
        <f>D8+D10+D9+D11</f>
        <v>141.15708999999998</v>
      </c>
      <c r="E7" s="5">
        <f t="shared" si="2"/>
        <v>23.142782896678359</v>
      </c>
      <c r="F7" s="5">
        <f t="shared" si="1"/>
        <v>-468.78290999999996</v>
      </c>
    </row>
    <row r="8" spans="1:6">
      <c r="A8" s="7">
        <v>1030223001</v>
      </c>
      <c r="B8" s="8" t="s">
        <v>268</v>
      </c>
      <c r="C8" s="9">
        <v>227.51</v>
      </c>
      <c r="D8" s="10">
        <v>64.059960000000004</v>
      </c>
      <c r="E8" s="9">
        <f t="shared" si="2"/>
        <v>28.156986506087645</v>
      </c>
      <c r="F8" s="9">
        <f t="shared" si="1"/>
        <v>-163.45004</v>
      </c>
    </row>
    <row r="9" spans="1:6">
      <c r="A9" s="7">
        <v>1030224001</v>
      </c>
      <c r="B9" s="8" t="s">
        <v>274</v>
      </c>
      <c r="C9" s="9">
        <v>2.4300000000000002</v>
      </c>
      <c r="D9" s="10">
        <v>0.41760999999999998</v>
      </c>
      <c r="E9" s="9">
        <f t="shared" si="2"/>
        <v>17.185596707818927</v>
      </c>
      <c r="F9" s="9">
        <f t="shared" si="1"/>
        <v>-2.0123900000000003</v>
      </c>
    </row>
    <row r="10" spans="1:6">
      <c r="A10" s="7">
        <v>1030225001</v>
      </c>
      <c r="B10" s="8" t="s">
        <v>267</v>
      </c>
      <c r="C10" s="9">
        <v>380</v>
      </c>
      <c r="D10" s="10">
        <v>89.911559999999994</v>
      </c>
      <c r="E10" s="9">
        <f t="shared" si="2"/>
        <v>23.660936842105261</v>
      </c>
      <c r="F10" s="9">
        <f t="shared" si="1"/>
        <v>-290.08843999999999</v>
      </c>
    </row>
    <row r="11" spans="1:6">
      <c r="A11" s="7">
        <v>1030226001</v>
      </c>
      <c r="B11" s="8" t="s">
        <v>276</v>
      </c>
      <c r="C11" s="9">
        <v>0</v>
      </c>
      <c r="D11" s="10">
        <v>-13.23204</v>
      </c>
      <c r="E11" s="9" t="e">
        <f t="shared" si="2"/>
        <v>#DIV/0!</v>
      </c>
      <c r="F11" s="9">
        <f t="shared" si="1"/>
        <v>-13.23204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46.911299999999997</v>
      </c>
      <c r="E12" s="5">
        <f t="shared" si="0"/>
        <v>234.55649999999997</v>
      </c>
      <c r="F12" s="5">
        <f t="shared" si="1"/>
        <v>26.911299999999997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46.911299999999997</v>
      </c>
      <c r="E13" s="9">
        <f t="shared" si="0"/>
        <v>234.55649999999997</v>
      </c>
      <c r="F13" s="9">
        <f t="shared" si="1"/>
        <v>26.911299999999997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258.81439</v>
      </c>
      <c r="E14" s="5">
        <f t="shared" si="0"/>
        <v>11.559374274229567</v>
      </c>
      <c r="F14" s="5">
        <f t="shared" si="1"/>
        <v>-1980.18561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-1.9236899999999999</v>
      </c>
      <c r="E15" s="9">
        <f t="shared" si="0"/>
        <v>-0.73988076923076918</v>
      </c>
      <c r="F15" s="9">
        <f>SUM(D15-C15)</f>
        <v>-261.92369000000002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260.73808000000002</v>
      </c>
      <c r="E16" s="9">
        <f t="shared" si="0"/>
        <v>13.17524406265791</v>
      </c>
      <c r="F16" s="9">
        <f t="shared" si="1"/>
        <v>-1718.2619199999999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</v>
      </c>
      <c r="E17" s="5">
        <f t="shared" si="0"/>
        <v>10</v>
      </c>
      <c r="F17" s="5">
        <f t="shared" si="1"/>
        <v>-9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1</v>
      </c>
      <c r="E18" s="9">
        <f t="shared" si="0"/>
        <v>10</v>
      </c>
      <c r="F18" s="9">
        <f t="shared" si="1"/>
        <v>-9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69.947479999999999</v>
      </c>
      <c r="E25" s="5">
        <f t="shared" si="0"/>
        <v>14.794306260575297</v>
      </c>
      <c r="F25" s="5">
        <f t="shared" si="1"/>
        <v>-402.85252000000003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52.221090000000004</v>
      </c>
      <c r="E26" s="5">
        <f t="shared" si="0"/>
        <v>12.065871072088726</v>
      </c>
      <c r="F26" s="5">
        <f t="shared" si="1"/>
        <v>-380.57891000000001</v>
      </c>
    </row>
    <row r="27" spans="1:6">
      <c r="A27" s="16">
        <v>1110502510</v>
      </c>
      <c r="B27" s="17" t="s">
        <v>221</v>
      </c>
      <c r="C27" s="12">
        <v>353.3</v>
      </c>
      <c r="D27" s="10">
        <v>42.577820000000003</v>
      </c>
      <c r="E27" s="9">
        <f t="shared" si="0"/>
        <v>12.051463345598641</v>
      </c>
      <c r="F27" s="9">
        <f t="shared" si="1"/>
        <v>-310.72217999999998</v>
      </c>
    </row>
    <row r="28" spans="1:6">
      <c r="A28" s="7">
        <v>1110503510</v>
      </c>
      <c r="B28" s="11" t="s">
        <v>220</v>
      </c>
      <c r="C28" s="12">
        <v>79.5</v>
      </c>
      <c r="D28" s="10">
        <v>9.6432699999999993</v>
      </c>
      <c r="E28" s="9">
        <f t="shared" si="0"/>
        <v>12.129899371069182</v>
      </c>
      <c r="F28" s="9">
        <f t="shared" si="1"/>
        <v>-69.856729999999999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10.142390000000001</v>
      </c>
      <c r="E29" s="5">
        <f t="shared" si="0"/>
        <v>25.355975000000004</v>
      </c>
      <c r="F29" s="5">
        <f t="shared" si="1"/>
        <v>-29.857610000000001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10.142390000000001</v>
      </c>
      <c r="E30" s="9">
        <f t="shared" si="0"/>
        <v>25.355975000000004</v>
      </c>
      <c r="F30" s="9">
        <f t="shared" si="1"/>
        <v>-29.857610000000001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5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27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7.5839999999999996</v>
      </c>
      <c r="E36" s="9" t="e">
        <f t="shared" si="0"/>
        <v>#DIV/0!</v>
      </c>
      <c r="F36" s="5">
        <f t="shared" si="1"/>
        <v>7.5839999999999996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7.5839999999999996</v>
      </c>
      <c r="E37" s="9" t="e">
        <f t="shared" si="0"/>
        <v>#DIV/0!</v>
      </c>
      <c r="F37" s="9">
        <f t="shared" si="1"/>
        <v>7.5839999999999996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547.80400999999995</v>
      </c>
      <c r="E39" s="5">
        <f t="shared" si="0"/>
        <v>15.799881458493164</v>
      </c>
      <c r="F39" s="5">
        <f t="shared" si="1"/>
        <v>-2919.3359900000005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1763.5620000000004</v>
      </c>
      <c r="D40" s="5">
        <f>SUM(D41:D48)</f>
        <v>259.9074</v>
      </c>
      <c r="E40" s="5">
        <f t="shared" si="0"/>
        <v>14.737638937559321</v>
      </c>
      <c r="F40" s="5">
        <f t="shared" si="1"/>
        <v>-1503.6546000000003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103.84829999999999</v>
      </c>
      <c r="E41" s="9">
        <f t="shared" si="0"/>
        <v>24.99959075589793</v>
      </c>
      <c r="F41" s="9">
        <f t="shared" si="1"/>
        <v>-311.55169999999998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f>861.44+185.9</f>
        <v>1047.3400000000001</v>
      </c>
      <c r="D43" s="10">
        <v>133.65899999999999</v>
      </c>
      <c r="E43" s="9">
        <f t="shared" si="0"/>
        <v>12.761758359272058</v>
      </c>
      <c r="F43" s="9">
        <f t="shared" si="1"/>
        <v>-913.68100000000015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22.400099999999998</v>
      </c>
      <c r="E44" s="9">
        <f t="shared" si="0"/>
        <v>24.003021795503738</v>
      </c>
      <c r="F44" s="9">
        <f t="shared" si="1"/>
        <v>-70.921900000000008</v>
      </c>
    </row>
    <row r="45" spans="1:7" ht="17.25" customHeight="1">
      <c r="A45" s="16">
        <v>2024000000</v>
      </c>
      <c r="B45" s="17" t="s">
        <v>21</v>
      </c>
      <c r="C45" s="12">
        <v>207.5</v>
      </c>
      <c r="D45" s="188"/>
      <c r="E45" s="9">
        <f t="shared" si="0"/>
        <v>0</v>
      </c>
      <c r="F45" s="9">
        <f t="shared" si="1"/>
        <v>-207.5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5230.7020000000011</v>
      </c>
      <c r="D50" s="462">
        <f>D39+D40</f>
        <v>807.71140999999989</v>
      </c>
      <c r="E50" s="5">
        <f t="shared" si="0"/>
        <v>15.4417401335423</v>
      </c>
      <c r="F50" s="5">
        <f t="shared" si="1"/>
        <v>-4422.9905900000012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-337.5398899999991</v>
      </c>
      <c r="D51" s="93">
        <f>D50-D97</f>
        <v>5.6862399999998843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402</v>
      </c>
      <c r="D53" s="180" t="s">
        <v>413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1519.4279999999999</v>
      </c>
      <c r="D55" s="32">
        <f>D56+D57+D58+D59+D60+D62+D61</f>
        <v>239.93388999999999</v>
      </c>
      <c r="E55" s="34">
        <f>SUM(D55/C55*100)</f>
        <v>15.791066769863397</v>
      </c>
      <c r="F55" s="34">
        <f>SUM(D55-C55)</f>
        <v>-1279.4941099999999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239.93388999999999</v>
      </c>
      <c r="E57" s="34">
        <f>SUM(D57/C57*100)</f>
        <v>16.268910360726878</v>
      </c>
      <c r="F57" s="38">
        <f t="shared" ref="F57:F97" si="3">SUM(D57-C57)</f>
        <v>-1234.8661099999999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9.6280000000000001</v>
      </c>
      <c r="D62" s="37">
        <v>0</v>
      </c>
      <c r="E62" s="38">
        <f t="shared" si="4"/>
        <v>0</v>
      </c>
      <c r="F62" s="38">
        <f t="shared" si="3"/>
        <v>-9.6280000000000001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17.793279999999999</v>
      </c>
      <c r="E63" s="34">
        <f t="shared" si="4"/>
        <v>19.695468331451593</v>
      </c>
      <c r="F63" s="34">
        <f t="shared" si="3"/>
        <v>-72.548720000000003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17.793279999999999</v>
      </c>
      <c r="E64" s="38">
        <f t="shared" si="4"/>
        <v>19.695468331451593</v>
      </c>
      <c r="F64" s="38">
        <f t="shared" si="3"/>
        <v>-72.548720000000003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46</v>
      </c>
      <c r="D65" s="32">
        <f>SUM(D68+D69+D70)</f>
        <v>2.1</v>
      </c>
      <c r="E65" s="34">
        <f t="shared" si="4"/>
        <v>4.5652173913043477</v>
      </c>
      <c r="F65" s="34">
        <f t="shared" si="3"/>
        <v>-43.9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26</v>
      </c>
      <c r="D68" s="37">
        <v>0</v>
      </c>
      <c r="E68" s="34">
        <f t="shared" si="4"/>
        <v>0</v>
      </c>
      <c r="F68" s="34">
        <f t="shared" si="3"/>
        <v>-26</v>
      </c>
    </row>
    <row r="69" spans="1:7">
      <c r="A69" s="46" t="s">
        <v>214</v>
      </c>
      <c r="B69" s="47" t="s">
        <v>215</v>
      </c>
      <c r="C69" s="37">
        <v>18</v>
      </c>
      <c r="D69" s="37">
        <v>2.1</v>
      </c>
      <c r="E69" s="34">
        <f t="shared" si="4"/>
        <v>11.666666666666666</v>
      </c>
      <c r="F69" s="34">
        <f t="shared" si="3"/>
        <v>-15.9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2407.81889</v>
      </c>
      <c r="D71" s="48">
        <f>SUM(D72:D75)</f>
        <v>244.82900000000001</v>
      </c>
      <c r="E71" s="34">
        <f t="shared" si="4"/>
        <v>10.168082035439136</v>
      </c>
      <c r="F71" s="34">
        <f t="shared" si="3"/>
        <v>-2162.9898899999998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713.48299999999995</v>
      </c>
      <c r="D73" s="37">
        <v>72.543000000000006</v>
      </c>
      <c r="E73" s="38">
        <f t="shared" si="4"/>
        <v>10.167446176012604</v>
      </c>
      <c r="F73" s="38">
        <f t="shared" si="3"/>
        <v>-640.93999999999994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158.386</v>
      </c>
      <c r="E74" s="38">
        <f t="shared" si="4"/>
        <v>9.7337851610065815</v>
      </c>
      <c r="F74" s="38">
        <f t="shared" si="3"/>
        <v>-1468.79189</v>
      </c>
    </row>
    <row r="75" spans="1:7">
      <c r="A75" s="35" t="s">
        <v>63</v>
      </c>
      <c r="B75" s="39" t="s">
        <v>64</v>
      </c>
      <c r="C75" s="49">
        <v>60</v>
      </c>
      <c r="D75" s="37">
        <v>13.9</v>
      </c>
      <c r="E75" s="38">
        <f t="shared" si="4"/>
        <v>23.166666666666664</v>
      </c>
      <c r="F75" s="38">
        <f t="shared" si="3"/>
        <v>-46.1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429.15300000000002</v>
      </c>
      <c r="D76" s="32">
        <f>SUM(D77:D79)</f>
        <v>30.588999999999999</v>
      </c>
      <c r="E76" s="34">
        <f t="shared" si="4"/>
        <v>7.1277609617082947</v>
      </c>
      <c r="F76" s="34">
        <f t="shared" si="3"/>
        <v>-398.56400000000002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>
      <c r="A79" s="35" t="s">
        <v>71</v>
      </c>
      <c r="B79" s="39" t="s">
        <v>72</v>
      </c>
      <c r="C79" s="37">
        <v>429.15300000000002</v>
      </c>
      <c r="D79" s="37">
        <v>30.588999999999999</v>
      </c>
      <c r="E79" s="38">
        <f t="shared" si="4"/>
        <v>7.1277609617082947</v>
      </c>
      <c r="F79" s="38">
        <f t="shared" si="3"/>
        <v>-398.56400000000002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264.77999999999997</v>
      </c>
      <c r="E80" s="34">
        <f t="shared" si="4"/>
        <v>24.850305021116846</v>
      </c>
      <c r="F80" s="34">
        <f t="shared" si="3"/>
        <v>-800.72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264.77999999999997</v>
      </c>
      <c r="E81" s="38">
        <f t="shared" si="4"/>
        <v>24.850305021116846</v>
      </c>
      <c r="F81" s="38">
        <f t="shared" si="3"/>
        <v>-800.72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61">
        <f>C55+C63+C71+C76+C80+C82+C87+C65+C93</f>
        <v>5568.2418900000002</v>
      </c>
      <c r="D97" s="461">
        <f>D55+D63+D71+D76+D80+D82+D87+D65+D93</f>
        <v>802.02517</v>
      </c>
      <c r="E97" s="34">
        <f t="shared" si="4"/>
        <v>14.403561947270219</v>
      </c>
      <c r="F97" s="34">
        <f t="shared" si="3"/>
        <v>-4766.2167200000004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40">
      <selection activeCell="D81" sqref="D81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4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7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25" zoomScale="70" zoomScaleNormal="100" zoomScaleSheetLayoutView="70" workbookViewId="0">
      <selection activeCell="C99" sqref="C99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427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177.73406</v>
      </c>
      <c r="E4" s="5">
        <f>SUM(D4/C4*100)</f>
        <v>15.489751880288994</v>
      </c>
      <c r="F4" s="5">
        <f>SUM(D4-C4)</f>
        <v>-969.69594000000006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28.281420000000001</v>
      </c>
      <c r="E5" s="5">
        <f t="shared" ref="E5:E52" si="0">SUM(D5/C5*100)</f>
        <v>19.317909836065571</v>
      </c>
      <c r="F5" s="5">
        <f t="shared" ref="F5:F52" si="1">SUM(D5-C5)</f>
        <v>-118.11858000000001</v>
      </c>
    </row>
    <row r="6" spans="1:6">
      <c r="A6" s="7">
        <v>1010200001</v>
      </c>
      <c r="B6" s="8" t="s">
        <v>224</v>
      </c>
      <c r="C6" s="9">
        <v>146.4</v>
      </c>
      <c r="D6" s="10">
        <v>28.281420000000001</v>
      </c>
      <c r="E6" s="9">
        <f t="shared" ref="E6:E11" si="2">SUM(D6/C6*100)</f>
        <v>19.317909836065571</v>
      </c>
      <c r="F6" s="9">
        <f t="shared" si="1"/>
        <v>-118.11858000000001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128.21767</v>
      </c>
      <c r="E7" s="5">
        <f t="shared" si="2"/>
        <v>23.142730538057503</v>
      </c>
      <c r="F7" s="5">
        <f t="shared" si="1"/>
        <v>-425.81233000000009</v>
      </c>
    </row>
    <row r="8" spans="1:6">
      <c r="A8" s="7">
        <v>1030223001</v>
      </c>
      <c r="B8" s="8" t="s">
        <v>268</v>
      </c>
      <c r="C8" s="9">
        <v>206.65</v>
      </c>
      <c r="D8" s="10">
        <v>58.18779</v>
      </c>
      <c r="E8" s="9">
        <f t="shared" si="2"/>
        <v>28.157653036535201</v>
      </c>
      <c r="F8" s="9">
        <f t="shared" si="1"/>
        <v>-148.46221</v>
      </c>
    </row>
    <row r="9" spans="1:6">
      <c r="A9" s="7">
        <v>1030224001</v>
      </c>
      <c r="B9" s="8" t="s">
        <v>274</v>
      </c>
      <c r="C9" s="9">
        <v>2.2200000000000002</v>
      </c>
      <c r="D9" s="10">
        <v>0.37933</v>
      </c>
      <c r="E9" s="9">
        <f t="shared" si="2"/>
        <v>17.086936936936937</v>
      </c>
      <c r="F9" s="9">
        <f t="shared" si="1"/>
        <v>-1.8406700000000003</v>
      </c>
    </row>
    <row r="10" spans="1:6">
      <c r="A10" s="7">
        <v>1030225001</v>
      </c>
      <c r="B10" s="8" t="s">
        <v>267</v>
      </c>
      <c r="C10" s="9">
        <v>345.16</v>
      </c>
      <c r="D10" s="10">
        <v>81.669659999999993</v>
      </c>
      <c r="E10" s="9">
        <f t="shared" si="2"/>
        <v>23.661391818287168</v>
      </c>
      <c r="F10" s="9">
        <f t="shared" si="1"/>
        <v>-263.49034000000006</v>
      </c>
    </row>
    <row r="11" spans="1:6">
      <c r="A11" s="7">
        <v>1030226001</v>
      </c>
      <c r="B11" s="8" t="s">
        <v>276</v>
      </c>
      <c r="C11" s="9">
        <v>0</v>
      </c>
      <c r="D11" s="10">
        <v>-12.01911</v>
      </c>
      <c r="E11" s="9" t="e">
        <f t="shared" si="2"/>
        <v>#DIV/0!</v>
      </c>
      <c r="F11" s="9">
        <f t="shared" si="1"/>
        <v>-12.01911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19.734970000000001</v>
      </c>
      <c r="E14" s="5">
        <f t="shared" si="0"/>
        <v>4.5682800925925928</v>
      </c>
      <c r="F14" s="5">
        <f t="shared" si="1"/>
        <v>-412.26503000000002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5.6877199999999997</v>
      </c>
      <c r="E15" s="9">
        <f t="shared" si="0"/>
        <v>4.7397666666666662</v>
      </c>
      <c r="F15" s="9">
        <f>SUM(D15-C15)</f>
        <v>-114.31228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14.04725</v>
      </c>
      <c r="E16" s="9">
        <f t="shared" si="0"/>
        <v>4.5023237179487179</v>
      </c>
      <c r="F16" s="9">
        <f t="shared" si="1"/>
        <v>-297.95274999999998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1.5</v>
      </c>
      <c r="E17" s="5">
        <f t="shared" si="0"/>
        <v>15</v>
      </c>
      <c r="F17" s="5">
        <f t="shared" si="1"/>
        <v>-8.5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1.5</v>
      </c>
      <c r="E18" s="9">
        <f t="shared" si="0"/>
        <v>15</v>
      </c>
      <c r="F18" s="9">
        <f t="shared" si="1"/>
        <v>-8.5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274.64936</v>
      </c>
      <c r="E25" s="5">
        <f t="shared" si="0"/>
        <v>75.869988950276252</v>
      </c>
      <c r="F25" s="5">
        <f t="shared" si="1"/>
        <v>-87.350639999999999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13.5</v>
      </c>
      <c r="E26" s="5">
        <f t="shared" si="0"/>
        <v>24.545454545454547</v>
      </c>
      <c r="F26" s="5">
        <f t="shared" si="1"/>
        <v>-41.5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13.5</v>
      </c>
      <c r="E28" s="9">
        <f t="shared" si="0"/>
        <v>24.545454545454547</v>
      </c>
      <c r="F28" s="9">
        <f t="shared" si="1"/>
        <v>-41.5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115.75936</v>
      </c>
      <c r="E29" s="5">
        <f t="shared" si="0"/>
        <v>115.75936</v>
      </c>
      <c r="F29" s="5">
        <f t="shared" si="1"/>
        <v>15.759360000000001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115.75936</v>
      </c>
      <c r="E30" s="9">
        <f t="shared" si="0"/>
        <v>115.75936</v>
      </c>
      <c r="F30" s="9">
        <f t="shared" si="1"/>
        <v>15.759360000000001</v>
      </c>
    </row>
    <row r="31" spans="1:6" ht="14.25" customHeight="1">
      <c r="A31" s="70">
        <v>1140000000</v>
      </c>
      <c r="B31" s="71" t="s">
        <v>129</v>
      </c>
      <c r="C31" s="5">
        <f>C32+C33</f>
        <v>207</v>
      </c>
      <c r="D31" s="5">
        <f>D32+D33</f>
        <v>145.38999999999999</v>
      </c>
      <c r="E31" s="5">
        <f t="shared" si="0"/>
        <v>70.236714975845402</v>
      </c>
      <c r="F31" s="5">
        <f t="shared" si="1"/>
        <v>-61.610000000000014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4.25" customHeight="1">
      <c r="A33" s="7">
        <v>1140600000</v>
      </c>
      <c r="B33" s="8" t="s">
        <v>218</v>
      </c>
      <c r="C33" s="9">
        <v>207</v>
      </c>
      <c r="D33" s="10">
        <v>145.38999999999999</v>
      </c>
      <c r="E33" s="9">
        <f t="shared" si="0"/>
        <v>70.236714975845402</v>
      </c>
      <c r="F33" s="9">
        <f t="shared" si="1"/>
        <v>-61.610000000000014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452.38342</v>
      </c>
      <c r="E37" s="5">
        <f t="shared" si="0"/>
        <v>29.97048024751065</v>
      </c>
      <c r="F37" s="5">
        <f t="shared" si="1"/>
        <v>-1057.0465800000002</v>
      </c>
    </row>
    <row r="38" spans="1:7" s="6" customFormat="1">
      <c r="A38" s="3">
        <v>2000000000</v>
      </c>
      <c r="B38" s="4" t="s">
        <v>17</v>
      </c>
      <c r="C38" s="5">
        <f>C39+C41+C42+C43+C50+C51</f>
        <v>10026.773000000001</v>
      </c>
      <c r="D38" s="5">
        <f>D39+D41+D42+D43+D50+D51</f>
        <v>1018.5399</v>
      </c>
      <c r="E38" s="5">
        <f t="shared" si="0"/>
        <v>10.158202444595084</v>
      </c>
      <c r="F38" s="5">
        <f t="shared" si="1"/>
        <v>-9008.2331000000013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855.23400000000004</v>
      </c>
      <c r="E39" s="9">
        <v>0</v>
      </c>
      <c r="F39" s="9">
        <f t="shared" si="1"/>
        <v>-2565.7660000000001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f>834.51+1131.4</f>
        <v>1965.91</v>
      </c>
      <c r="D42" s="10">
        <v>118.506</v>
      </c>
      <c r="E42" s="9">
        <f t="shared" si="0"/>
        <v>6.0280480795153384</v>
      </c>
      <c r="F42" s="9">
        <f t="shared" si="1"/>
        <v>-1847.404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44.799900000000001</v>
      </c>
      <c r="E43" s="9">
        <f t="shared" si="0"/>
        <v>24.234108501971733</v>
      </c>
      <c r="F43" s="9">
        <f t="shared" si="1"/>
        <v>-140.06309999999999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4455</v>
      </c>
      <c r="D50" s="10">
        <v>0</v>
      </c>
      <c r="E50" s="9">
        <f t="shared" si="0"/>
        <v>0</v>
      </c>
      <c r="F50" s="9">
        <f t="shared" si="1"/>
        <v>-4455</v>
      </c>
    </row>
    <row r="51" spans="1:8" s="6" customFormat="1" ht="15" customHeight="1">
      <c r="A51" s="7">
        <v>2070500010</v>
      </c>
      <c r="B51" s="11" t="s">
        <v>288</v>
      </c>
      <c r="C51" s="12">
        <v>0</v>
      </c>
      <c r="D51" s="10">
        <v>0</v>
      </c>
      <c r="E51" s="9">
        <v>0</v>
      </c>
      <c r="F51" s="9">
        <f>SUM(D51-C51)</f>
        <v>0</v>
      </c>
    </row>
    <row r="52" spans="1:8" s="6" customFormat="1" ht="18" customHeight="1">
      <c r="A52" s="3"/>
      <c r="B52" s="4" t="s">
        <v>25</v>
      </c>
      <c r="C52" s="93">
        <f>C37+C38</f>
        <v>11536.203000000001</v>
      </c>
      <c r="D52" s="93">
        <f>D37+D38</f>
        <v>1470.9233199999999</v>
      </c>
      <c r="E52" s="5">
        <f t="shared" si="0"/>
        <v>12.75049788912348</v>
      </c>
      <c r="F52" s="5">
        <f t="shared" si="1"/>
        <v>-10065.279680000001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-425.7523199999996</v>
      </c>
      <c r="D53" s="93">
        <f>D52-D99</f>
        <v>249.08862999999997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402</v>
      </c>
      <c r="D55" s="73" t="s">
        <v>428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298.91865999999999</v>
      </c>
      <c r="E57" s="34">
        <f>SUM(D57/C57*100)</f>
        <v>21.615942877886585</v>
      </c>
      <c r="F57" s="34">
        <f>SUM(D57-C57)</f>
        <v>-1083.94334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298.91865999999999</v>
      </c>
      <c r="E59" s="38">
        <f t="shared" ref="E59:E99" si="3">SUM(D59/C59*100)</f>
        <v>22.312990888746562</v>
      </c>
      <c r="F59" s="38">
        <f t="shared" ref="F59:F99" si="4">SUM(D59-C59)</f>
        <v>-1040.74334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0</v>
      </c>
      <c r="E64" s="38">
        <f t="shared" si="3"/>
        <v>0</v>
      </c>
      <c r="F64" s="38">
        <f t="shared" si="4"/>
        <v>-4.2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35.588999999999999</v>
      </c>
      <c r="E65" s="34">
        <f t="shared" si="3"/>
        <v>19.696927768522769</v>
      </c>
      <c r="F65" s="34">
        <f t="shared" si="4"/>
        <v>-145.09399999999999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35.588999999999999</v>
      </c>
      <c r="E66" s="38">
        <f t="shared" si="3"/>
        <v>19.696927768522769</v>
      </c>
      <c r="F66" s="38">
        <f t="shared" si="4"/>
        <v>-145.09399999999999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1.5</v>
      </c>
      <c r="E67" s="34">
        <f t="shared" si="3"/>
        <v>12.5</v>
      </c>
      <c r="F67" s="34">
        <f t="shared" si="4"/>
        <v>-10.5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1.5</v>
      </c>
      <c r="E71" s="34">
        <f t="shared" si="3"/>
        <v>18.75</v>
      </c>
      <c r="F71" s="34">
        <f t="shared" si="4"/>
        <v>-6.5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2434.9318000000003</v>
      </c>
      <c r="D73" s="48">
        <f>SUM(D74:D77)</f>
        <v>337.48599999999999</v>
      </c>
      <c r="E73" s="34">
        <f t="shared" si="3"/>
        <v>13.860182860152385</v>
      </c>
      <c r="F73" s="34">
        <f t="shared" si="4"/>
        <v>-2097.4458000000004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200</v>
      </c>
      <c r="D75" s="37">
        <v>74.215999999999994</v>
      </c>
      <c r="E75" s="38">
        <f t="shared" si="3"/>
        <v>37.107999999999997</v>
      </c>
      <c r="F75" s="38">
        <f t="shared" si="4"/>
        <v>-125.78400000000001</v>
      </c>
      <c r="G75" s="50"/>
    </row>
    <row r="76" spans="1:7">
      <c r="A76" s="35" t="s">
        <v>61</v>
      </c>
      <c r="B76" s="39" t="s">
        <v>62</v>
      </c>
      <c r="C76" s="49">
        <v>2224.9108000000001</v>
      </c>
      <c r="D76" s="37">
        <v>263.27</v>
      </c>
      <c r="E76" s="38">
        <f t="shared" si="3"/>
        <v>11.832833927544421</v>
      </c>
      <c r="F76" s="38">
        <f t="shared" si="4"/>
        <v>-1961.6408000000001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5847.4785199999997</v>
      </c>
      <c r="D78" s="32">
        <f>SUM(D79:D81)</f>
        <v>19.317740000000001</v>
      </c>
      <c r="E78" s="34">
        <f t="shared" si="3"/>
        <v>0.3303601703525369</v>
      </c>
      <c r="F78" s="34">
        <f t="shared" si="4"/>
        <v>-5828.1607799999992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hidden="1" customHeight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5847.4785199999997</v>
      </c>
      <c r="D81" s="37">
        <v>19.317740000000001</v>
      </c>
      <c r="E81" s="38">
        <f t="shared" si="3"/>
        <v>0.3303601703525369</v>
      </c>
      <c r="F81" s="38">
        <f t="shared" si="4"/>
        <v>-5828.1607799999992</v>
      </c>
    </row>
    <row r="82" spans="1:6" s="6" customFormat="1">
      <c r="A82" s="30" t="s">
        <v>83</v>
      </c>
      <c r="B82" s="31" t="s">
        <v>84</v>
      </c>
      <c r="C82" s="32">
        <f>C83</f>
        <v>2102</v>
      </c>
      <c r="D82" s="32">
        <f>SUM(D83)</f>
        <v>529.02328999999997</v>
      </c>
      <c r="E82" s="34">
        <f t="shared" si="3"/>
        <v>25.167616079923882</v>
      </c>
      <c r="F82" s="34">
        <f t="shared" si="4"/>
        <v>-1572.9767099999999</v>
      </c>
    </row>
    <row r="83" spans="1:6" ht="15" customHeight="1">
      <c r="A83" s="35" t="s">
        <v>85</v>
      </c>
      <c r="B83" s="39" t="s">
        <v>229</v>
      </c>
      <c r="C83" s="37">
        <v>2102</v>
      </c>
      <c r="D83" s="37">
        <v>529.02328999999997</v>
      </c>
      <c r="E83" s="38">
        <f t="shared" si="3"/>
        <v>25.167616079923882</v>
      </c>
      <c r="F83" s="38">
        <f t="shared" si="4"/>
        <v>-1572.9767099999999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72">
        <f>C57+C65+C67+C73+C78+C82+C89+C84</f>
        <v>11961.955320000001</v>
      </c>
      <c r="D99" s="472">
        <f>D57+D65+D67+D73+D78+D82+D89+D84</f>
        <v>1221.8346899999999</v>
      </c>
      <c r="E99" s="34">
        <f t="shared" si="3"/>
        <v>10.214339188820844</v>
      </c>
      <c r="F99" s="34">
        <f t="shared" si="4"/>
        <v>-10740.120630000001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25">
      <selection activeCell="C99" sqref="C9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3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4" zoomScale="70" zoomScaleNormal="100" zoomScaleSheetLayoutView="70" workbookViewId="0">
      <selection activeCell="D82" sqref="D82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23" t="s">
        <v>429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54.75" customHeight="1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2500.96</v>
      </c>
      <c r="D4" s="5">
        <f>D5+D12+D14+D17+D7</f>
        <v>446.07683999999995</v>
      </c>
      <c r="E4" s="5">
        <f>SUM(D4/C4*100)</f>
        <v>17.836224489795917</v>
      </c>
      <c r="F4" s="5">
        <f>SUM(D4-C4)</f>
        <v>-2054.8831600000003</v>
      </c>
    </row>
    <row r="5" spans="1:6" s="6" customFormat="1">
      <c r="A5" s="68">
        <v>1010000000</v>
      </c>
      <c r="B5" s="67" t="s">
        <v>5</v>
      </c>
      <c r="C5" s="5">
        <f>C6</f>
        <v>114.5</v>
      </c>
      <c r="D5" s="5">
        <f>D6</f>
        <v>60.765070000000001</v>
      </c>
      <c r="E5" s="5">
        <f t="shared" ref="E5:E52" si="0">SUM(D5/C5*100)</f>
        <v>53.069930131004369</v>
      </c>
      <c r="F5" s="5">
        <f t="shared" ref="F5:F52" si="1">SUM(D5-C5)</f>
        <v>-53.734929999999999</v>
      </c>
    </row>
    <row r="6" spans="1:6">
      <c r="A6" s="7">
        <v>1010200001</v>
      </c>
      <c r="B6" s="8" t="s">
        <v>224</v>
      </c>
      <c r="C6" s="9">
        <v>114.5</v>
      </c>
      <c r="D6" s="10">
        <v>60.765070000000001</v>
      </c>
      <c r="E6" s="9">
        <f t="shared" ref="E6:E11" si="2">SUM(D6/C6*100)</f>
        <v>53.069930131004369</v>
      </c>
      <c r="F6" s="9">
        <f t="shared" si="1"/>
        <v>-53.734929999999999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198.20808</v>
      </c>
      <c r="E7" s="5">
        <f t="shared" si="2"/>
        <v>23.142713028045677</v>
      </c>
      <c r="F7" s="5">
        <f t="shared" si="1"/>
        <v>-658.25191999999993</v>
      </c>
    </row>
    <row r="8" spans="1:6">
      <c r="A8" s="7">
        <v>1030223001</v>
      </c>
      <c r="B8" s="8" t="s">
        <v>268</v>
      </c>
      <c r="C8" s="9">
        <v>319.45999999999998</v>
      </c>
      <c r="D8" s="10">
        <v>89.950860000000006</v>
      </c>
      <c r="E8" s="9">
        <f t="shared" si="2"/>
        <v>28.15715895573781</v>
      </c>
      <c r="F8" s="9">
        <f t="shared" si="1"/>
        <v>-229.50913999999997</v>
      </c>
    </row>
    <row r="9" spans="1:6">
      <c r="A9" s="7">
        <v>1030224001</v>
      </c>
      <c r="B9" s="8" t="s">
        <v>274</v>
      </c>
      <c r="C9" s="9">
        <v>3.43</v>
      </c>
      <c r="D9" s="10">
        <v>0.58638999999999997</v>
      </c>
      <c r="E9" s="9">
        <f t="shared" si="2"/>
        <v>17.095918367346936</v>
      </c>
      <c r="F9" s="9">
        <f t="shared" si="1"/>
        <v>-2.84361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126.25081</v>
      </c>
      <c r="E10" s="9">
        <f t="shared" si="2"/>
        <v>23.661527072361636</v>
      </c>
      <c r="F10" s="9">
        <f>SUM(D10-C10)</f>
        <v>-407.31919000000005</v>
      </c>
    </row>
    <row r="11" spans="1:6">
      <c r="A11" s="7">
        <v>1030226001</v>
      </c>
      <c r="B11" s="8" t="s">
        <v>276</v>
      </c>
      <c r="C11" s="9">
        <v>0</v>
      </c>
      <c r="D11" s="10">
        <v>-18.579979999999999</v>
      </c>
      <c r="E11" s="9" t="e">
        <f t="shared" si="2"/>
        <v>#DIV/0!</v>
      </c>
      <c r="F11" s="9">
        <f>SUM(D11-C11)</f>
        <v>-18.579979999999999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5.8148999999999997</v>
      </c>
      <c r="E12" s="5">
        <f t="shared" si="0"/>
        <v>29.074499999999997</v>
      </c>
      <c r="F12" s="5">
        <f t="shared" si="1"/>
        <v>-14.1851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5.8148999999999997</v>
      </c>
      <c r="E13" s="9">
        <f t="shared" si="0"/>
        <v>29.074499999999997</v>
      </c>
      <c r="F13" s="9">
        <f t="shared" si="1"/>
        <v>-14.1851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180.58878999999999</v>
      </c>
      <c r="E14" s="5">
        <f t="shared" si="0"/>
        <v>12.079517725752508</v>
      </c>
      <c r="F14" s="5">
        <f t="shared" si="1"/>
        <v>-1314.41121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32.044780000000003</v>
      </c>
      <c r="E15" s="9">
        <f t="shared" si="0"/>
        <v>13.079502040816326</v>
      </c>
      <c r="F15" s="9">
        <f>SUM(D15-C15)</f>
        <v>-212.95522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148.54400999999999</v>
      </c>
      <c r="E16" s="9">
        <f t="shared" si="0"/>
        <v>11.883520799999998</v>
      </c>
      <c r="F16" s="9">
        <f t="shared" si="1"/>
        <v>-1101.4559899999999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0.7</v>
      </c>
      <c r="E17" s="5">
        <f t="shared" si="0"/>
        <v>4.6666666666666661</v>
      </c>
      <c r="F17" s="5">
        <f t="shared" si="1"/>
        <v>-14.3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0.7</v>
      </c>
      <c r="E18" s="9">
        <f t="shared" si="0"/>
        <v>4.6666666666666661</v>
      </c>
      <c r="F18" s="9">
        <f t="shared" si="1"/>
        <v>-14.3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30</v>
      </c>
      <c r="D25" s="5">
        <f>D30+D37+D26+D35</f>
        <v>7.8036000000000003</v>
      </c>
      <c r="E25" s="5">
        <f t="shared" si="0"/>
        <v>26.012</v>
      </c>
      <c r="F25" s="5">
        <f t="shared" si="1"/>
        <v>-22.196400000000001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30</v>
      </c>
      <c r="D26" s="5">
        <f>D27+D28</f>
        <v>7.8036000000000003</v>
      </c>
      <c r="E26" s="5">
        <f t="shared" si="0"/>
        <v>26.012</v>
      </c>
      <c r="F26" s="5">
        <f t="shared" si="1"/>
        <v>-22.196400000000001</v>
      </c>
    </row>
    <row r="27" spans="1:6" ht="15" customHeight="1">
      <c r="A27" s="16">
        <v>1110502510</v>
      </c>
      <c r="B27" s="17" t="s">
        <v>221</v>
      </c>
      <c r="C27" s="12">
        <v>30</v>
      </c>
      <c r="D27" s="10">
        <v>7.8036000000000003</v>
      </c>
      <c r="E27" s="9">
        <f t="shared" si="0"/>
        <v>26.012</v>
      </c>
      <c r="F27" s="9">
        <f t="shared" si="1"/>
        <v>-22.196400000000001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0</v>
      </c>
      <c r="D30" s="5">
        <f>D31</f>
        <v>0</v>
      </c>
      <c r="E30" s="5" t="e">
        <f t="shared" si="0"/>
        <v>#DIV/0!</v>
      </c>
      <c r="F30" s="5">
        <f t="shared" si="1"/>
        <v>0</v>
      </c>
    </row>
    <row r="31" spans="1:6" ht="17.25" customHeight="1">
      <c r="A31" s="7">
        <v>1130206005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34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34.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7.25" hidden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2530.96</v>
      </c>
      <c r="D40" s="127">
        <f>D4+D25</f>
        <v>453.88043999999996</v>
      </c>
      <c r="E40" s="5">
        <f t="shared" si="0"/>
        <v>17.93313367259854</v>
      </c>
      <c r="F40" s="5">
        <f t="shared" si="1"/>
        <v>-2077.0795600000001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13713.859899999999</v>
      </c>
      <c r="D41" s="5">
        <f>D42+D44+D45+D47+D48+D49+D43+D51</f>
        <v>701.48289999999997</v>
      </c>
      <c r="E41" s="5">
        <f t="shared" si="0"/>
        <v>5.1151382988825782</v>
      </c>
      <c r="F41" s="5">
        <f t="shared" si="1"/>
        <v>-13012.377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501.16500000000002</v>
      </c>
      <c r="E42" s="9">
        <f t="shared" si="0"/>
        <v>24.999501172245225</v>
      </c>
      <c r="F42" s="9">
        <f t="shared" si="1"/>
        <v>-1503.5350000000001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0</v>
      </c>
      <c r="E43" s="9">
        <f t="shared" si="0"/>
        <v>0</v>
      </c>
      <c r="F43" s="9">
        <f t="shared" si="1"/>
        <v>-414</v>
      </c>
    </row>
    <row r="44" spans="1:7">
      <c r="A44" s="16">
        <v>2022000000</v>
      </c>
      <c r="B44" s="17" t="s">
        <v>19</v>
      </c>
      <c r="C44" s="12">
        <f>1320+1053.5</f>
        <v>2373.5</v>
      </c>
      <c r="D44" s="10">
        <v>155.518</v>
      </c>
      <c r="E44" s="9">
        <f t="shared" si="0"/>
        <v>6.552264588160944</v>
      </c>
      <c r="F44" s="9">
        <f t="shared" si="1"/>
        <v>-2217.982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44.799900000000001</v>
      </c>
      <c r="E45" s="9">
        <f t="shared" si="0"/>
        <v>24.234108501971733</v>
      </c>
      <c r="F45" s="9">
        <f t="shared" si="1"/>
        <v>-140.06309999999999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8736.7968999999994</v>
      </c>
      <c r="D47" s="188">
        <v>0</v>
      </c>
      <c r="E47" s="9">
        <f t="shared" si="0"/>
        <v>0</v>
      </c>
      <c r="F47" s="9">
        <f t="shared" si="1"/>
        <v>-8736.7968999999994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0</v>
      </c>
      <c r="D51" s="220">
        <v>0</v>
      </c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194">
        <f>SUM(C40,C41,C50)</f>
        <v>16244.819899999999</v>
      </c>
      <c r="D52" s="463">
        <f>D40+D41</f>
        <v>1155.3633399999999</v>
      </c>
      <c r="E52" s="5">
        <f t="shared" si="0"/>
        <v>7.1121954389903692</v>
      </c>
      <c r="F52" s="5">
        <f t="shared" si="1"/>
        <v>-15089.456559999999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-1121.2167300000037</v>
      </c>
      <c r="D53" s="266">
        <f>D52-D99</f>
        <v>-4.5239599999999882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402</v>
      </c>
      <c r="D55" s="73" t="s">
        <v>413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303.36059</v>
      </c>
      <c r="E57" s="34">
        <f>SUM(D57/C57*100)</f>
        <v>19.270753689806011</v>
      </c>
      <c r="F57" s="34">
        <f>SUM(D57-C57)</f>
        <v>-1270.84141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303.36059</v>
      </c>
      <c r="E59" s="38">
        <f t="shared" ref="E59:E99" si="3">SUM(D59/C59*100)</f>
        <v>19.878159360461307</v>
      </c>
      <c r="F59" s="38">
        <f t="shared" ref="F59:F99" si="4">SUM(D59-C59)</f>
        <v>-1222.7394099999999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0</v>
      </c>
      <c r="E64" s="38">
        <f t="shared" si="3"/>
        <v>0</v>
      </c>
      <c r="F64" s="38">
        <f t="shared" si="4"/>
        <v>-4.1020000000000003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36.386519999999997</v>
      </c>
      <c r="E65" s="34">
        <f t="shared" si="3"/>
        <v>20.138319598412689</v>
      </c>
      <c r="F65" s="34">
        <f t="shared" si="4"/>
        <v>-144.29648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36.386519999999997</v>
      </c>
      <c r="E66" s="38">
        <f t="shared" si="3"/>
        <v>20.138319598412689</v>
      </c>
      <c r="F66" s="38">
        <f t="shared" si="4"/>
        <v>-144.29648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12</v>
      </c>
      <c r="D67" s="32">
        <f>D71+D70+D72</f>
        <v>1</v>
      </c>
      <c r="E67" s="34">
        <f t="shared" si="3"/>
        <v>8.3333333333333321</v>
      </c>
      <c r="F67" s="34">
        <f t="shared" si="4"/>
        <v>-11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1</v>
      </c>
      <c r="E71" s="34">
        <f t="shared" si="3"/>
        <v>12.5</v>
      </c>
      <c r="F71" s="34">
        <f t="shared" si="4"/>
        <v>-7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4672.1977299999999</v>
      </c>
      <c r="D73" s="48">
        <f>SUM(D74:D77)</f>
        <v>186.49299999999999</v>
      </c>
      <c r="E73" s="34">
        <f t="shared" si="3"/>
        <v>3.9915476779275783</v>
      </c>
      <c r="F73" s="34">
        <f t="shared" si="4"/>
        <v>-4485.7047299999995</v>
      </c>
    </row>
    <row r="74" spans="1:7" ht="16.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7.25" customHeight="1">
      <c r="A75" s="35" t="s">
        <v>59</v>
      </c>
      <c r="B75" s="39" t="s">
        <v>60</v>
      </c>
      <c r="C75" s="49">
        <v>224</v>
      </c>
      <c r="D75" s="37"/>
      <c r="E75" s="38">
        <f t="shared" si="3"/>
        <v>0</v>
      </c>
      <c r="F75" s="38">
        <f t="shared" si="4"/>
        <v>-224</v>
      </c>
      <c r="G75" s="50"/>
    </row>
    <row r="76" spans="1:7" ht="18" customHeight="1">
      <c r="A76" s="35" t="s">
        <v>61</v>
      </c>
      <c r="B76" s="39" t="s">
        <v>62</v>
      </c>
      <c r="C76" s="49">
        <v>4184.1767300000001</v>
      </c>
      <c r="D76" s="37">
        <v>176.79300000000001</v>
      </c>
      <c r="E76" s="38">
        <f t="shared" si="3"/>
        <v>4.2252756374370444</v>
      </c>
      <c r="F76" s="38">
        <f t="shared" si="4"/>
        <v>-4007.38373</v>
      </c>
    </row>
    <row r="77" spans="1:7">
      <c r="A77" s="35" t="s">
        <v>63</v>
      </c>
      <c r="B77" s="39" t="s">
        <v>64</v>
      </c>
      <c r="C77" s="49">
        <v>254</v>
      </c>
      <c r="D77" s="37">
        <v>9.6999999999999993</v>
      </c>
      <c r="E77" s="38">
        <f t="shared" si="3"/>
        <v>3.818897637795275</v>
      </c>
      <c r="F77" s="38">
        <f t="shared" si="4"/>
        <v>-244.3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4228.5538999999999</v>
      </c>
      <c r="D78" s="32">
        <f>SUM(D79:D81)</f>
        <v>124.18837000000001</v>
      </c>
      <c r="E78" s="34">
        <f t="shared" si="3"/>
        <v>2.9368993026197447</v>
      </c>
      <c r="F78" s="34">
        <f t="shared" si="4"/>
        <v>-4104.36553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hidden="1" customHeight="1">
      <c r="A80" s="35" t="s">
        <v>69</v>
      </c>
      <c r="B80" s="51" t="s">
        <v>70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4228.5538999999999</v>
      </c>
      <c r="D81" s="37">
        <v>124.18837000000001</v>
      </c>
      <c r="E81" s="38">
        <f>SUM(D81/C81*100)</f>
        <v>2.9368993026197447</v>
      </c>
      <c r="F81" s="38">
        <f t="shared" si="4"/>
        <v>-4104.36553</v>
      </c>
    </row>
    <row r="82" spans="1:6" s="6" customFormat="1">
      <c r="A82" s="30" t="s">
        <v>83</v>
      </c>
      <c r="B82" s="31" t="s">
        <v>84</v>
      </c>
      <c r="C82" s="32">
        <f>C83</f>
        <v>6646.4</v>
      </c>
      <c r="D82" s="32">
        <f>SUM(D83)</f>
        <v>489.06382000000002</v>
      </c>
      <c r="E82" s="34">
        <f t="shared" si="3"/>
        <v>7.3583266129032268</v>
      </c>
      <c r="F82" s="34">
        <f t="shared" si="4"/>
        <v>-6157.3361799999993</v>
      </c>
    </row>
    <row r="83" spans="1:6" ht="18.75" customHeight="1">
      <c r="A83" s="35" t="s">
        <v>85</v>
      </c>
      <c r="B83" s="39" t="s">
        <v>229</v>
      </c>
      <c r="C83" s="37">
        <v>6646.4</v>
      </c>
      <c r="D83" s="37">
        <v>489.06382000000002</v>
      </c>
      <c r="E83" s="38">
        <f t="shared" si="3"/>
        <v>7.3583266129032268</v>
      </c>
      <c r="F83" s="38">
        <f t="shared" si="4"/>
        <v>-6157.3361799999993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52</v>
      </c>
      <c r="D89" s="32">
        <f>D90+D91+D92+D93+D94</f>
        <v>19.395</v>
      </c>
      <c r="E89" s="38">
        <f t="shared" si="3"/>
        <v>37.29807692307692</v>
      </c>
      <c r="F89" s="22">
        <f>F90+F91+F92+F93+F94</f>
        <v>-32.605000000000004</v>
      </c>
    </row>
    <row r="90" spans="1:6" ht="17.25" customHeight="1">
      <c r="A90" s="35" t="s">
        <v>94</v>
      </c>
      <c r="B90" s="39" t="s">
        <v>95</v>
      </c>
      <c r="C90" s="37">
        <v>52</v>
      </c>
      <c r="D90" s="37">
        <v>19.395</v>
      </c>
      <c r="E90" s="38">
        <f t="shared" si="3"/>
        <v>37.29807692307692</v>
      </c>
      <c r="F90" s="38">
        <f>SUM(D90-C90)</f>
        <v>-32.605000000000004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17366.036630000002</v>
      </c>
      <c r="D99" s="33">
        <f>D57+D65+D67+D73+D78+D82+D84+D89+D95</f>
        <v>1159.8872999999999</v>
      </c>
      <c r="E99" s="34">
        <f t="shared" si="3"/>
        <v>6.6790559337890771</v>
      </c>
      <c r="F99" s="34">
        <f t="shared" si="4"/>
        <v>-16206.149330000002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4">
      <selection activeCell="D82" sqref="D82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2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3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2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23" t="s">
        <v>430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47.25" customHeight="1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235.38930000000002</v>
      </c>
      <c r="E4" s="5">
        <f>SUM(D4/C4*100)</f>
        <v>11.454042935665289</v>
      </c>
      <c r="F4" s="5">
        <f>SUM(D4-C4)</f>
        <v>-1819.6868099999999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29.679539999999999</v>
      </c>
      <c r="E5" s="5">
        <f t="shared" ref="E5:E48" si="0">SUM(D5/C5*100)</f>
        <v>26.738324324324324</v>
      </c>
      <c r="F5" s="5">
        <f t="shared" ref="F5:F48" si="1">SUM(D5-C5)</f>
        <v>-81.320459999999997</v>
      </c>
    </row>
    <row r="6" spans="1:6">
      <c r="A6" s="7">
        <v>1010200001</v>
      </c>
      <c r="B6" s="8" t="s">
        <v>224</v>
      </c>
      <c r="C6" s="9">
        <v>111</v>
      </c>
      <c r="D6" s="10">
        <v>29.679539999999999</v>
      </c>
      <c r="E6" s="9">
        <f t="shared" ref="E6:E11" si="2">SUM(D6/C6*100)</f>
        <v>26.738324324324324</v>
      </c>
      <c r="F6" s="9">
        <f t="shared" si="1"/>
        <v>-81.320459999999997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114.10196000000001</v>
      </c>
      <c r="E7" s="5">
        <f t="shared" si="2"/>
        <v>23.14253610254746</v>
      </c>
      <c r="F7" s="5">
        <f t="shared" si="1"/>
        <v>-378.93804000000006</v>
      </c>
    </row>
    <row r="8" spans="1:6">
      <c r="A8" s="7">
        <v>1030223001</v>
      </c>
      <c r="B8" s="8" t="s">
        <v>268</v>
      </c>
      <c r="C8" s="9">
        <v>183.91</v>
      </c>
      <c r="D8" s="10">
        <v>51.781790000000001</v>
      </c>
      <c r="E8" s="9">
        <f t="shared" si="2"/>
        <v>28.156049154477735</v>
      </c>
      <c r="F8" s="9">
        <f t="shared" si="1"/>
        <v>-132.12821</v>
      </c>
    </row>
    <row r="9" spans="1:6">
      <c r="A9" s="7">
        <v>1030224001</v>
      </c>
      <c r="B9" s="8" t="s">
        <v>274</v>
      </c>
      <c r="C9" s="9">
        <v>1.97</v>
      </c>
      <c r="D9" s="10">
        <v>0.33756000000000003</v>
      </c>
      <c r="E9" s="9">
        <f t="shared" si="2"/>
        <v>17.135025380710662</v>
      </c>
      <c r="F9" s="9">
        <f t="shared" si="1"/>
        <v>-1.6324399999999999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72.678510000000003</v>
      </c>
      <c r="E10" s="9">
        <f t="shared" si="2"/>
        <v>23.661450058601378</v>
      </c>
      <c r="F10" s="9">
        <f t="shared" si="1"/>
        <v>-234.48149000000001</v>
      </c>
    </row>
    <row r="11" spans="1:6">
      <c r="A11" s="7">
        <v>1030226001</v>
      </c>
      <c r="B11" s="8" t="s">
        <v>276</v>
      </c>
      <c r="C11" s="9">
        <v>0</v>
      </c>
      <c r="D11" s="10">
        <v>-10.6959</v>
      </c>
      <c r="E11" s="9" t="e">
        <f t="shared" si="2"/>
        <v>#DIV/0!</v>
      </c>
      <c r="F11" s="9">
        <f t="shared" si="1"/>
        <v>-10.6959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88.803400000000011</v>
      </c>
      <c r="E14" s="5">
        <f t="shared" si="0"/>
        <v>6.1624687531251396</v>
      </c>
      <c r="F14" s="5">
        <f t="shared" si="1"/>
        <v>-1352.23271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24.427320000000002</v>
      </c>
      <c r="E15" s="9">
        <f t="shared" si="0"/>
        <v>5.197302127659575</v>
      </c>
      <c r="F15" s="9">
        <f>SUM(D15-C15)</f>
        <v>-445.57267999999999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64.376080000000002</v>
      </c>
      <c r="E16" s="9">
        <f t="shared" si="0"/>
        <v>6.6296278106485653</v>
      </c>
      <c r="F16" s="9">
        <f t="shared" si="1"/>
        <v>-906.66003000000001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2.4</v>
      </c>
      <c r="E17" s="5">
        <f t="shared" si="0"/>
        <v>48</v>
      </c>
      <c r="F17" s="5">
        <f t="shared" si="1"/>
        <v>-2.6</v>
      </c>
    </row>
    <row r="18" spans="1:6">
      <c r="A18" s="7">
        <v>1080400001</v>
      </c>
      <c r="B18" s="8" t="s">
        <v>223</v>
      </c>
      <c r="C18" s="9">
        <v>5</v>
      </c>
      <c r="D18" s="10">
        <v>2.4</v>
      </c>
      <c r="E18" s="9">
        <f t="shared" si="0"/>
        <v>48</v>
      </c>
      <c r="F18" s="9">
        <f t="shared" si="1"/>
        <v>-2.6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162.96096999999997</v>
      </c>
      <c r="E25" s="5">
        <f t="shared" si="0"/>
        <v>70.668243712055499</v>
      </c>
      <c r="F25" s="5">
        <f t="shared" si="1"/>
        <v>-67.63903000000002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158.54096999999999</v>
      </c>
      <c r="E26" s="5">
        <f t="shared" si="0"/>
        <v>68.751504770164786</v>
      </c>
      <c r="F26" s="5">
        <f t="shared" si="1"/>
        <v>-72.059030000000007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158.54096999999999</v>
      </c>
      <c r="E27" s="5">
        <f t="shared" si="0"/>
        <v>68.751504770164786</v>
      </c>
      <c r="F27" s="9">
        <f t="shared" si="1"/>
        <v>-72.059030000000007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4.2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7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398.35027000000002</v>
      </c>
      <c r="E37" s="5">
        <f t="shared" si="0"/>
        <v>17.428115394704811</v>
      </c>
      <c r="F37" s="5">
        <f t="shared" si="1"/>
        <v>-1887.32584</v>
      </c>
    </row>
    <row r="38" spans="1:8" s="6" customFormat="1">
      <c r="A38" s="3">
        <v>2000000000</v>
      </c>
      <c r="B38" s="4" t="s">
        <v>17</v>
      </c>
      <c r="C38" s="5">
        <f>C39+C41+C42+C44+C45+C46+C40</f>
        <v>9111.4248200000002</v>
      </c>
      <c r="D38" s="5">
        <f>D39+D41+D42+D44+D45+D46+D40</f>
        <v>204.92310000000001</v>
      </c>
      <c r="E38" s="5">
        <f t="shared" si="0"/>
        <v>2.2490785365444084</v>
      </c>
      <c r="F38" s="5">
        <f t="shared" si="1"/>
        <v>-8906.5017200000002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182.523</v>
      </c>
      <c r="E39" s="9">
        <f t="shared" si="0"/>
        <v>24.999726064922612</v>
      </c>
      <c r="F39" s="9">
        <f t="shared" si="1"/>
        <v>-547.577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0</v>
      </c>
      <c r="E40" s="9">
        <f t="shared" si="0"/>
        <v>0</v>
      </c>
      <c r="F40" s="9">
        <f t="shared" si="1"/>
        <v>-1236.7529999999999</v>
      </c>
    </row>
    <row r="41" spans="1:8">
      <c r="A41" s="16">
        <v>2022000000</v>
      </c>
      <c r="B41" s="17" t="s">
        <v>19</v>
      </c>
      <c r="C41" s="12">
        <f>1145.971+1073.7</f>
        <v>2219.6710000000003</v>
      </c>
      <c r="D41" s="10">
        <v>0</v>
      </c>
      <c r="E41" s="9">
        <f t="shared" si="0"/>
        <v>0</v>
      </c>
      <c r="F41" s="9">
        <f t="shared" si="1"/>
        <v>-2219.6710000000003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22.400099999999998</v>
      </c>
      <c r="E42" s="9">
        <f t="shared" si="0"/>
        <v>23.257849489160229</v>
      </c>
      <c r="F42" s="9">
        <f t="shared" si="1"/>
        <v>-73.911900000000003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4170</v>
      </c>
      <c r="D44" s="188">
        <v>0</v>
      </c>
      <c r="E44" s="9">
        <f t="shared" si="0"/>
        <v>0</v>
      </c>
      <c r="F44" s="9">
        <f t="shared" si="1"/>
        <v>-4170</v>
      </c>
    </row>
    <row r="45" spans="1:8" ht="18" customHeight="1">
      <c r="A45" s="16">
        <v>2070000000</v>
      </c>
      <c r="B45" s="18" t="s">
        <v>283</v>
      </c>
      <c r="C45" s="12">
        <v>658.58882000000006</v>
      </c>
      <c r="D45" s="188">
        <v>0</v>
      </c>
      <c r="E45" s="9">
        <f>SUM(D45/C45*100)</f>
        <v>0</v>
      </c>
      <c r="F45" s="9">
        <f t="shared" si="1"/>
        <v>-658.58882000000006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64">
        <f>SUM(C37,C38,C47)</f>
        <v>11397.100930000001</v>
      </c>
      <c r="D48" s="465">
        <f>D37+D38</f>
        <v>603.27337</v>
      </c>
      <c r="E48" s="5">
        <f t="shared" si="0"/>
        <v>5.2932177551576709</v>
      </c>
      <c r="F48" s="5">
        <f t="shared" si="1"/>
        <v>-10793.82756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-145.50009999999929</v>
      </c>
      <c r="D49" s="93">
        <f>D48-D95</f>
        <v>141.88837999999998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402</v>
      </c>
      <c r="D51" s="73" t="s">
        <v>413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32">
        <f>D54+D55+D56+D57+D58+D60+D59</f>
        <v>248.04571000000001</v>
      </c>
      <c r="E53" s="34">
        <f>SUM(D53/C53*100)</f>
        <v>18.170209570859186</v>
      </c>
      <c r="F53" s="34">
        <f>SUM(D53-C53)</f>
        <v>-1117.0772899999997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248.04571000000001</v>
      </c>
      <c r="E55" s="38">
        <f t="shared" ref="E55:E95" si="3">SUM(D55/C55*100)</f>
        <v>18.606684419773462</v>
      </c>
      <c r="F55" s="38">
        <f t="shared" ref="F55:F95" si="4">SUM(D55-C55)</f>
        <v>-1085.0542899999998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0</v>
      </c>
      <c r="E60" s="38">
        <f t="shared" si="3"/>
        <v>0</v>
      </c>
      <c r="F60" s="38">
        <f t="shared" si="4"/>
        <v>-3.0230000000000001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18.193280000000001</v>
      </c>
      <c r="E61" s="34">
        <f t="shared" si="3"/>
        <v>20.138230280489697</v>
      </c>
      <c r="F61" s="34">
        <f t="shared" si="4"/>
        <v>-72.148719999999997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18.193280000000001</v>
      </c>
      <c r="E62" s="38">
        <f t="shared" si="3"/>
        <v>20.138230280489697</v>
      </c>
      <c r="F62" s="38">
        <f t="shared" si="4"/>
        <v>-72.148719999999997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12</v>
      </c>
      <c r="D63" s="32">
        <f>D67+D66+D68</f>
        <v>1.5</v>
      </c>
      <c r="E63" s="34">
        <f t="shared" si="3"/>
        <v>12.5</v>
      </c>
      <c r="F63" s="34">
        <f t="shared" si="4"/>
        <v>-10.5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2</v>
      </c>
      <c r="D66" s="37">
        <v>0</v>
      </c>
      <c r="E66" s="34">
        <f t="shared" si="3"/>
        <v>0</v>
      </c>
      <c r="F66" s="34">
        <f t="shared" si="4"/>
        <v>-2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1.5</v>
      </c>
      <c r="E67" s="34">
        <f t="shared" si="3"/>
        <v>18.75</v>
      </c>
      <c r="F67" s="34">
        <f t="shared" si="4"/>
        <v>-6.5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5688.1520299999993</v>
      </c>
      <c r="D69" s="48">
        <f>SUM(D70:D73)</f>
        <v>19.98</v>
      </c>
      <c r="E69" s="34">
        <f t="shared" si="3"/>
        <v>0.35125643433268083</v>
      </c>
      <c r="F69" s="34">
        <f t="shared" si="4"/>
        <v>-5668.1720299999997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3531.5874199999998</v>
      </c>
      <c r="D71" s="37">
        <v>0</v>
      </c>
      <c r="E71" s="38">
        <f t="shared" si="3"/>
        <v>0</v>
      </c>
      <c r="F71" s="38">
        <f t="shared" si="4"/>
        <v>-3531.5874199999998</v>
      </c>
      <c r="G71" s="50"/>
    </row>
    <row r="72" spans="1:7">
      <c r="A72" s="35" t="s">
        <v>61</v>
      </c>
      <c r="B72" s="39" t="s">
        <v>62</v>
      </c>
      <c r="C72" s="49">
        <v>2142.2486100000001</v>
      </c>
      <c r="D72" s="37">
        <v>19.98</v>
      </c>
      <c r="E72" s="38">
        <f t="shared" si="3"/>
        <v>0.93266486003228177</v>
      </c>
      <c r="F72" s="38">
        <f t="shared" si="4"/>
        <v>-2122.2686100000001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6.5" customHeight="1">
      <c r="A74" s="30" t="s">
        <v>65</v>
      </c>
      <c r="B74" s="31" t="s">
        <v>66</v>
      </c>
      <c r="C74" s="32">
        <f>SUM(C75:C77)</f>
        <v>3325.431</v>
      </c>
      <c r="D74" s="32">
        <f>SUM(D76:D77)</f>
        <v>0</v>
      </c>
      <c r="E74" s="34">
        <f t="shared" si="3"/>
        <v>0</v>
      </c>
      <c r="F74" s="34">
        <f t="shared" si="4"/>
        <v>-3325.431</v>
      </c>
    </row>
    <row r="75" spans="1:7" hidden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7.25" customHeight="1">
      <c r="A76" s="35" t="s">
        <v>69</v>
      </c>
      <c r="B76" s="51" t="s">
        <v>70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>
      <c r="A77" s="35" t="s">
        <v>71</v>
      </c>
      <c r="B77" s="39" t="s">
        <v>72</v>
      </c>
      <c r="C77" s="37">
        <v>3325.431</v>
      </c>
      <c r="D77" s="37">
        <v>0</v>
      </c>
      <c r="E77" s="38">
        <f>SUM(D77/C77*100)</f>
        <v>0</v>
      </c>
      <c r="F77" s="38">
        <f t="shared" si="4"/>
        <v>-3325.431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173.666</v>
      </c>
      <c r="E78" s="34">
        <f t="shared" si="3"/>
        <v>16.390496747213209</v>
      </c>
      <c r="F78" s="34">
        <f t="shared" si="4"/>
        <v>-885.88700000000017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173.666</v>
      </c>
      <c r="E79" s="38">
        <f t="shared" si="3"/>
        <v>16.390496747213209</v>
      </c>
      <c r="F79" s="38">
        <f t="shared" si="4"/>
        <v>-885.88700000000017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65">
        <f>C53+C61+C63+C69+C74+C78+C85</f>
        <v>11542.60103</v>
      </c>
      <c r="D95" s="465">
        <f>D53+D61+D63+D69+D74+D78+D85</f>
        <v>461.38499000000002</v>
      </c>
      <c r="E95" s="34">
        <f t="shared" si="3"/>
        <v>3.9972358812440048</v>
      </c>
      <c r="F95" s="34">
        <f t="shared" si="4"/>
        <v>-11081.216039999999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2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3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4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7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N33"/>
  <sheetViews>
    <sheetView view="pageBreakPreview" topLeftCell="DZ4" zoomScale="70" zoomScaleNormal="100" zoomScaleSheetLayoutView="70" workbookViewId="0">
      <selection activeCell="CP12" sqref="CP12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14.42578125" style="153" customWidth="1"/>
    <col min="6" max="6" width="15.42578125" style="153" customWidth="1"/>
    <col min="7" max="7" width="16.28515625" style="153" customWidth="1"/>
    <col min="8" max="8" width="14.85546875" style="153" customWidth="1"/>
    <col min="9" max="9" width="15.5703125" style="153" customWidth="1"/>
    <col min="10" max="10" width="17" style="153" customWidth="1"/>
    <col min="11" max="11" width="13" style="153" bestFit="1" customWidth="1"/>
    <col min="12" max="12" width="18" style="153" customWidth="1"/>
    <col min="13" max="13" width="16.85546875" style="153" customWidth="1"/>
    <col min="14" max="14" width="13" style="153" bestFit="1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7.28515625" style="153" bestFit="1" customWidth="1"/>
    <col min="20" max="20" width="10" style="153" customWidth="1"/>
    <col min="21" max="21" width="13.5703125" style="153" customWidth="1"/>
    <col min="22" max="22" width="17.425781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5.42578125" style="153" customWidth="1"/>
    <col min="40" max="40" width="16" style="153" customWidth="1"/>
    <col min="41" max="41" width="16.28515625" style="153" customWidth="1"/>
    <col min="42" max="42" width="14.28515625" style="153" customWidth="1"/>
    <col min="43" max="43" width="13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1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17" style="153" customWidth="1"/>
    <col min="79" max="79" width="16.1406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4" width="14.140625" style="153" customWidth="1"/>
    <col min="85" max="85" width="11.28515625" style="153" customWidth="1"/>
    <col min="86" max="86" width="12.5703125" style="153" customWidth="1"/>
    <col min="87" max="87" width="15.42578125" style="153" customWidth="1"/>
    <col min="88" max="88" width="13.5703125" style="153" customWidth="1"/>
    <col min="89" max="89" width="14.85546875" style="153" customWidth="1"/>
    <col min="90" max="90" width="17.8554687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22.28515625" style="153" customWidth="1"/>
    <col min="95" max="95" width="14.8554687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4.425781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0.140625" style="153" customWidth="1"/>
    <col min="132" max="132" width="15.28515625" style="153" customWidth="1"/>
    <col min="133" max="133" width="12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10.5703125" style="153" customWidth="1"/>
    <col min="138" max="138" width="12.28515625" style="153" customWidth="1"/>
    <col min="139" max="139" width="12.42578125" style="153" customWidth="1"/>
    <col min="140" max="140" width="9.5703125" style="153" customWidth="1"/>
    <col min="141" max="141" width="16.5703125" style="153" customWidth="1"/>
    <col min="142" max="142" width="13.2851562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3.85546875" style="153" customWidth="1"/>
    <col min="154" max="154" width="12.42578125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14" t="s">
        <v>134</v>
      </c>
      <c r="Y1" s="514"/>
      <c r="Z1" s="514"/>
      <c r="AA1" s="156"/>
      <c r="AB1" s="156"/>
      <c r="AC1" s="156"/>
      <c r="AD1" s="509"/>
      <c r="AE1" s="509"/>
      <c r="AF1" s="509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09"/>
      <c r="AE2" s="509"/>
      <c r="AF2" s="509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7"/>
      <c r="C3" s="347"/>
      <c r="D3" s="348"/>
      <c r="E3" s="347"/>
      <c r="F3" s="347"/>
      <c r="G3" s="347"/>
      <c r="H3" s="347"/>
      <c r="I3" s="347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519" t="s">
        <v>136</v>
      </c>
      <c r="Y3" s="519"/>
      <c r="Z3" s="519"/>
      <c r="AA3" s="158"/>
      <c r="AB3" s="158"/>
      <c r="AC3" s="158"/>
      <c r="AD3" s="513"/>
      <c r="AE3" s="513"/>
      <c r="AF3" s="513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17" t="s">
        <v>137</v>
      </c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15" t="s">
        <v>431</v>
      </c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50"/>
      <c r="C6" s="351"/>
      <c r="D6" s="352"/>
      <c r="E6" s="350"/>
      <c r="F6" s="350"/>
      <c r="G6" s="353"/>
      <c r="H6" s="353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  <c r="Y6" s="350"/>
      <c r="Z6" s="353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494" t="s">
        <v>138</v>
      </c>
      <c r="B7" s="494" t="s">
        <v>139</v>
      </c>
      <c r="C7" s="485" t="s">
        <v>140</v>
      </c>
      <c r="D7" s="486"/>
      <c r="E7" s="487"/>
      <c r="F7" s="274" t="s">
        <v>141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6"/>
      <c r="DD7" s="275"/>
      <c r="DE7" s="275"/>
      <c r="DF7" s="276"/>
      <c r="DG7" s="485" t="s">
        <v>142</v>
      </c>
      <c r="DH7" s="486"/>
      <c r="DI7" s="487"/>
      <c r="DJ7" s="485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F7" s="486"/>
      <c r="EG7" s="486"/>
      <c r="EH7" s="486"/>
      <c r="EI7" s="486"/>
      <c r="EJ7" s="486"/>
      <c r="EK7" s="486"/>
      <c r="EL7" s="486"/>
      <c r="EM7" s="486"/>
      <c r="EN7" s="486"/>
      <c r="EO7" s="486"/>
      <c r="EP7" s="486"/>
      <c r="EQ7" s="486"/>
      <c r="ER7" s="486"/>
      <c r="ES7" s="486"/>
      <c r="ET7" s="486"/>
      <c r="EU7" s="486"/>
      <c r="EV7" s="487"/>
      <c r="EW7" s="485" t="s">
        <v>143</v>
      </c>
      <c r="EX7" s="486"/>
      <c r="EY7" s="487"/>
    </row>
    <row r="8" spans="1:159" s="162" customFormat="1" ht="15" customHeight="1">
      <c r="A8" s="494"/>
      <c r="B8" s="494"/>
      <c r="C8" s="488"/>
      <c r="D8" s="489"/>
      <c r="E8" s="490"/>
      <c r="F8" s="488" t="s">
        <v>144</v>
      </c>
      <c r="G8" s="489"/>
      <c r="H8" s="490"/>
      <c r="I8" s="510" t="s">
        <v>145</v>
      </c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  <c r="AA8" s="511"/>
      <c r="AB8" s="511"/>
      <c r="AC8" s="511"/>
      <c r="AD8" s="511"/>
      <c r="AE8" s="511"/>
      <c r="AF8" s="511"/>
      <c r="AG8" s="511"/>
      <c r="AH8" s="511"/>
      <c r="AI8" s="511"/>
      <c r="AJ8" s="511"/>
      <c r="AK8" s="511"/>
      <c r="AL8" s="511"/>
      <c r="AM8" s="511"/>
      <c r="AN8" s="511"/>
      <c r="AO8" s="511"/>
      <c r="AP8" s="511"/>
      <c r="AQ8" s="511"/>
      <c r="AR8" s="511"/>
      <c r="AS8" s="511"/>
      <c r="AT8" s="511"/>
      <c r="AU8" s="511"/>
      <c r="AV8" s="511"/>
      <c r="AW8" s="511"/>
      <c r="AX8" s="512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8"/>
      <c r="BT8" s="279"/>
      <c r="BU8" s="279"/>
      <c r="BV8" s="279"/>
      <c r="BW8" s="280"/>
      <c r="BX8" s="280"/>
      <c r="BY8" s="280"/>
      <c r="BZ8" s="494" t="s">
        <v>146</v>
      </c>
      <c r="CA8" s="494"/>
      <c r="CB8" s="494"/>
      <c r="CC8" s="491" t="s">
        <v>145</v>
      </c>
      <c r="CD8" s="492"/>
      <c r="CE8" s="492"/>
      <c r="CF8" s="492"/>
      <c r="CG8" s="492"/>
      <c r="CH8" s="492"/>
      <c r="CI8" s="492"/>
      <c r="CJ8" s="492"/>
      <c r="CK8" s="492"/>
      <c r="CL8" s="492"/>
      <c r="CM8" s="492"/>
      <c r="CN8" s="492"/>
      <c r="CO8" s="281"/>
      <c r="CP8" s="281"/>
      <c r="CQ8" s="281"/>
      <c r="CR8" s="281"/>
      <c r="CS8" s="281"/>
      <c r="CT8" s="281"/>
      <c r="CU8" s="282"/>
      <c r="CV8" s="282"/>
      <c r="CW8" s="283"/>
      <c r="CX8" s="488" t="s">
        <v>147</v>
      </c>
      <c r="CY8" s="489"/>
      <c r="CZ8" s="490"/>
      <c r="DA8" s="520"/>
      <c r="DB8" s="521"/>
      <c r="DC8" s="522"/>
      <c r="DD8" s="520"/>
      <c r="DE8" s="521"/>
      <c r="DF8" s="522"/>
      <c r="DG8" s="488"/>
      <c r="DH8" s="489"/>
      <c r="DI8" s="490"/>
      <c r="DJ8" s="488" t="s">
        <v>145</v>
      </c>
      <c r="DK8" s="489"/>
      <c r="DL8" s="489"/>
      <c r="DM8" s="489"/>
      <c r="DN8" s="489"/>
      <c r="DO8" s="489"/>
      <c r="DP8" s="489"/>
      <c r="DQ8" s="489"/>
      <c r="DR8" s="489"/>
      <c r="DS8" s="489"/>
      <c r="DT8" s="489"/>
      <c r="DU8" s="489"/>
      <c r="DV8" s="489"/>
      <c r="DW8" s="489"/>
      <c r="DX8" s="489"/>
      <c r="DY8" s="489"/>
      <c r="DZ8" s="489"/>
      <c r="EA8" s="489"/>
      <c r="EB8" s="489"/>
      <c r="EC8" s="489"/>
      <c r="ED8" s="489"/>
      <c r="EE8" s="489"/>
      <c r="EF8" s="489"/>
      <c r="EG8" s="489"/>
      <c r="EH8" s="489"/>
      <c r="EI8" s="489"/>
      <c r="EJ8" s="489"/>
      <c r="EK8" s="489"/>
      <c r="EL8" s="489"/>
      <c r="EM8" s="489"/>
      <c r="EN8" s="489"/>
      <c r="EO8" s="489"/>
      <c r="EP8" s="489"/>
      <c r="EQ8" s="489"/>
      <c r="ER8" s="489"/>
      <c r="ES8" s="489"/>
      <c r="ET8" s="489"/>
      <c r="EU8" s="489"/>
      <c r="EV8" s="490"/>
      <c r="EW8" s="488"/>
      <c r="EX8" s="489"/>
      <c r="EY8" s="490"/>
    </row>
    <row r="9" spans="1:159" s="162" customFormat="1" ht="15" customHeight="1">
      <c r="A9" s="494"/>
      <c r="B9" s="494"/>
      <c r="C9" s="488"/>
      <c r="D9" s="489"/>
      <c r="E9" s="490"/>
      <c r="F9" s="488"/>
      <c r="G9" s="489"/>
      <c r="H9" s="490"/>
      <c r="I9" s="485" t="s">
        <v>148</v>
      </c>
      <c r="J9" s="486"/>
      <c r="K9" s="487"/>
      <c r="L9" s="485" t="s">
        <v>278</v>
      </c>
      <c r="M9" s="486"/>
      <c r="N9" s="487"/>
      <c r="O9" s="485" t="s">
        <v>281</v>
      </c>
      <c r="P9" s="486"/>
      <c r="Q9" s="487"/>
      <c r="R9" s="485" t="s">
        <v>279</v>
      </c>
      <c r="S9" s="486"/>
      <c r="T9" s="487"/>
      <c r="U9" s="485" t="s">
        <v>280</v>
      </c>
      <c r="V9" s="486"/>
      <c r="W9" s="487"/>
      <c r="X9" s="485" t="s">
        <v>149</v>
      </c>
      <c r="Y9" s="486"/>
      <c r="Z9" s="487"/>
      <c r="AA9" s="485" t="s">
        <v>150</v>
      </c>
      <c r="AB9" s="486"/>
      <c r="AC9" s="487"/>
      <c r="AD9" s="485" t="s">
        <v>151</v>
      </c>
      <c r="AE9" s="486"/>
      <c r="AF9" s="487"/>
      <c r="AG9" s="494" t="s">
        <v>152</v>
      </c>
      <c r="AH9" s="494"/>
      <c r="AI9" s="494"/>
      <c r="AJ9" s="485" t="s">
        <v>243</v>
      </c>
      <c r="AK9" s="486"/>
      <c r="AL9" s="487"/>
      <c r="AM9" s="485" t="s">
        <v>153</v>
      </c>
      <c r="AN9" s="486"/>
      <c r="AO9" s="487"/>
      <c r="AP9" s="485" t="s">
        <v>327</v>
      </c>
      <c r="AQ9" s="486"/>
      <c r="AR9" s="487"/>
      <c r="AS9" s="485" t="s">
        <v>154</v>
      </c>
      <c r="AT9" s="486"/>
      <c r="AU9" s="487"/>
      <c r="AV9" s="485" t="s">
        <v>155</v>
      </c>
      <c r="AW9" s="486"/>
      <c r="AX9" s="487"/>
      <c r="AY9" s="485" t="s">
        <v>245</v>
      </c>
      <c r="AZ9" s="486"/>
      <c r="BA9" s="487"/>
      <c r="BB9" s="485" t="s">
        <v>337</v>
      </c>
      <c r="BC9" s="486"/>
      <c r="BD9" s="487"/>
      <c r="BE9" s="485" t="s">
        <v>400</v>
      </c>
      <c r="BF9" s="486"/>
      <c r="BG9" s="487"/>
      <c r="BH9" s="485" t="s">
        <v>156</v>
      </c>
      <c r="BI9" s="486"/>
      <c r="BJ9" s="487"/>
      <c r="BK9" s="485" t="s">
        <v>271</v>
      </c>
      <c r="BL9" s="486"/>
      <c r="BM9" s="487"/>
      <c r="BN9" s="485" t="s">
        <v>241</v>
      </c>
      <c r="BO9" s="486"/>
      <c r="BP9" s="487"/>
      <c r="BQ9" s="485" t="s">
        <v>157</v>
      </c>
      <c r="BR9" s="486"/>
      <c r="BS9" s="487"/>
      <c r="BT9" s="485" t="s">
        <v>158</v>
      </c>
      <c r="BU9" s="486"/>
      <c r="BV9" s="487"/>
      <c r="BW9" s="488" t="s">
        <v>159</v>
      </c>
      <c r="BX9" s="489"/>
      <c r="BY9" s="489"/>
      <c r="BZ9" s="494"/>
      <c r="CA9" s="494"/>
      <c r="CB9" s="494"/>
      <c r="CC9" s="485" t="s">
        <v>328</v>
      </c>
      <c r="CD9" s="486"/>
      <c r="CE9" s="487"/>
      <c r="CF9" s="485" t="s">
        <v>329</v>
      </c>
      <c r="CG9" s="486"/>
      <c r="CH9" s="487"/>
      <c r="CI9" s="485" t="s">
        <v>160</v>
      </c>
      <c r="CJ9" s="486"/>
      <c r="CK9" s="487"/>
      <c r="CL9" s="485" t="s">
        <v>161</v>
      </c>
      <c r="CM9" s="486"/>
      <c r="CN9" s="487"/>
      <c r="CO9" s="485" t="s">
        <v>21</v>
      </c>
      <c r="CP9" s="486"/>
      <c r="CQ9" s="487"/>
      <c r="CR9" s="485" t="s">
        <v>288</v>
      </c>
      <c r="CS9" s="486"/>
      <c r="CT9" s="487"/>
      <c r="CU9" s="485" t="s">
        <v>330</v>
      </c>
      <c r="CV9" s="486"/>
      <c r="CW9" s="487"/>
      <c r="CX9" s="488"/>
      <c r="CY9" s="489"/>
      <c r="CZ9" s="490"/>
      <c r="DA9" s="485" t="s">
        <v>256</v>
      </c>
      <c r="DB9" s="486"/>
      <c r="DC9" s="487"/>
      <c r="DD9" s="494" t="s">
        <v>162</v>
      </c>
      <c r="DE9" s="494"/>
      <c r="DF9" s="494"/>
      <c r="DG9" s="488"/>
      <c r="DH9" s="489"/>
      <c r="DI9" s="490"/>
      <c r="DJ9" s="495" t="s">
        <v>163</v>
      </c>
      <c r="DK9" s="496"/>
      <c r="DL9" s="497"/>
      <c r="DM9" s="504" t="s">
        <v>141</v>
      </c>
      <c r="DN9" s="505"/>
      <c r="DO9" s="505"/>
      <c r="DP9" s="505"/>
      <c r="DQ9" s="505"/>
      <c r="DR9" s="505"/>
      <c r="DS9" s="505"/>
      <c r="DT9" s="505"/>
      <c r="DU9" s="505"/>
      <c r="DV9" s="505"/>
      <c r="DW9" s="505"/>
      <c r="DX9" s="506"/>
      <c r="DY9" s="495" t="s">
        <v>164</v>
      </c>
      <c r="DZ9" s="496"/>
      <c r="EA9" s="497"/>
      <c r="EB9" s="495" t="s">
        <v>165</v>
      </c>
      <c r="EC9" s="496"/>
      <c r="ED9" s="497"/>
      <c r="EE9" s="495" t="s">
        <v>166</v>
      </c>
      <c r="EF9" s="496"/>
      <c r="EG9" s="497"/>
      <c r="EH9" s="495" t="s">
        <v>167</v>
      </c>
      <c r="EI9" s="496"/>
      <c r="EJ9" s="497"/>
      <c r="EK9" s="485" t="s">
        <v>282</v>
      </c>
      <c r="EL9" s="486"/>
      <c r="EM9" s="487"/>
      <c r="EN9" s="485" t="s">
        <v>168</v>
      </c>
      <c r="EO9" s="486"/>
      <c r="EP9" s="487"/>
      <c r="EQ9" s="485" t="s">
        <v>314</v>
      </c>
      <c r="ER9" s="486"/>
      <c r="ES9" s="487"/>
      <c r="ET9" s="494" t="s">
        <v>284</v>
      </c>
      <c r="EU9" s="494"/>
      <c r="EV9" s="494"/>
      <c r="EW9" s="488"/>
      <c r="EX9" s="489"/>
      <c r="EY9" s="490"/>
    </row>
    <row r="10" spans="1:159" s="162" customFormat="1" ht="62.25" customHeight="1">
      <c r="A10" s="494"/>
      <c r="B10" s="494"/>
      <c r="C10" s="488"/>
      <c r="D10" s="489"/>
      <c r="E10" s="490"/>
      <c r="F10" s="488"/>
      <c r="G10" s="489"/>
      <c r="H10" s="490"/>
      <c r="I10" s="488"/>
      <c r="J10" s="489"/>
      <c r="K10" s="490"/>
      <c r="L10" s="488"/>
      <c r="M10" s="489"/>
      <c r="N10" s="490"/>
      <c r="O10" s="488"/>
      <c r="P10" s="489"/>
      <c r="Q10" s="490"/>
      <c r="R10" s="488"/>
      <c r="S10" s="489"/>
      <c r="T10" s="490"/>
      <c r="U10" s="488"/>
      <c r="V10" s="489"/>
      <c r="W10" s="490"/>
      <c r="X10" s="488"/>
      <c r="Y10" s="489"/>
      <c r="Z10" s="490"/>
      <c r="AA10" s="488"/>
      <c r="AB10" s="489"/>
      <c r="AC10" s="490"/>
      <c r="AD10" s="488"/>
      <c r="AE10" s="489"/>
      <c r="AF10" s="490"/>
      <c r="AG10" s="494"/>
      <c r="AH10" s="494"/>
      <c r="AI10" s="494"/>
      <c r="AJ10" s="488"/>
      <c r="AK10" s="489"/>
      <c r="AL10" s="490"/>
      <c r="AM10" s="488"/>
      <c r="AN10" s="489"/>
      <c r="AO10" s="490"/>
      <c r="AP10" s="488"/>
      <c r="AQ10" s="489"/>
      <c r="AR10" s="490"/>
      <c r="AS10" s="488"/>
      <c r="AT10" s="489"/>
      <c r="AU10" s="490"/>
      <c r="AV10" s="488"/>
      <c r="AW10" s="489"/>
      <c r="AX10" s="490"/>
      <c r="AY10" s="488"/>
      <c r="AZ10" s="489"/>
      <c r="BA10" s="490"/>
      <c r="BB10" s="488"/>
      <c r="BC10" s="489"/>
      <c r="BD10" s="490"/>
      <c r="BE10" s="488"/>
      <c r="BF10" s="489"/>
      <c r="BG10" s="490"/>
      <c r="BH10" s="488"/>
      <c r="BI10" s="489"/>
      <c r="BJ10" s="490"/>
      <c r="BK10" s="488"/>
      <c r="BL10" s="489"/>
      <c r="BM10" s="490"/>
      <c r="BN10" s="488"/>
      <c r="BO10" s="489"/>
      <c r="BP10" s="490"/>
      <c r="BQ10" s="488"/>
      <c r="BR10" s="489"/>
      <c r="BS10" s="490"/>
      <c r="BT10" s="488"/>
      <c r="BU10" s="489"/>
      <c r="BV10" s="490"/>
      <c r="BW10" s="488"/>
      <c r="BX10" s="489"/>
      <c r="BY10" s="489"/>
      <c r="BZ10" s="494"/>
      <c r="CA10" s="494"/>
      <c r="CB10" s="494"/>
      <c r="CC10" s="488"/>
      <c r="CD10" s="489"/>
      <c r="CE10" s="490"/>
      <c r="CF10" s="488"/>
      <c r="CG10" s="489"/>
      <c r="CH10" s="490"/>
      <c r="CI10" s="488"/>
      <c r="CJ10" s="489"/>
      <c r="CK10" s="490"/>
      <c r="CL10" s="488"/>
      <c r="CM10" s="489"/>
      <c r="CN10" s="490"/>
      <c r="CO10" s="488"/>
      <c r="CP10" s="489"/>
      <c r="CQ10" s="490"/>
      <c r="CR10" s="488"/>
      <c r="CS10" s="489"/>
      <c r="CT10" s="490"/>
      <c r="CU10" s="488"/>
      <c r="CV10" s="489"/>
      <c r="CW10" s="490"/>
      <c r="CX10" s="488"/>
      <c r="CY10" s="489"/>
      <c r="CZ10" s="490"/>
      <c r="DA10" s="488"/>
      <c r="DB10" s="489"/>
      <c r="DC10" s="490"/>
      <c r="DD10" s="494"/>
      <c r="DE10" s="494"/>
      <c r="DF10" s="494"/>
      <c r="DG10" s="488"/>
      <c r="DH10" s="489"/>
      <c r="DI10" s="490"/>
      <c r="DJ10" s="498"/>
      <c r="DK10" s="499"/>
      <c r="DL10" s="500"/>
      <c r="DM10" s="284"/>
      <c r="DN10" s="285"/>
      <c r="DO10" s="285"/>
      <c r="DP10" s="286"/>
      <c r="DQ10" s="286"/>
      <c r="DR10" s="286"/>
      <c r="DS10" s="285"/>
      <c r="DT10" s="285"/>
      <c r="DU10" s="285"/>
      <c r="DV10" s="285"/>
      <c r="DW10" s="285"/>
      <c r="DX10" s="287"/>
      <c r="DY10" s="498"/>
      <c r="DZ10" s="499"/>
      <c r="EA10" s="500"/>
      <c r="EB10" s="498"/>
      <c r="EC10" s="499"/>
      <c r="ED10" s="500"/>
      <c r="EE10" s="498"/>
      <c r="EF10" s="499"/>
      <c r="EG10" s="500"/>
      <c r="EH10" s="498"/>
      <c r="EI10" s="499"/>
      <c r="EJ10" s="500"/>
      <c r="EK10" s="488"/>
      <c r="EL10" s="489"/>
      <c r="EM10" s="490"/>
      <c r="EN10" s="488"/>
      <c r="EO10" s="489"/>
      <c r="EP10" s="490"/>
      <c r="EQ10" s="488"/>
      <c r="ER10" s="489"/>
      <c r="ES10" s="490"/>
      <c r="ET10" s="494"/>
      <c r="EU10" s="494"/>
      <c r="EV10" s="494"/>
      <c r="EW10" s="488"/>
      <c r="EX10" s="489"/>
      <c r="EY10" s="490"/>
    </row>
    <row r="11" spans="1:159" s="162" customFormat="1" ht="109.5" customHeight="1">
      <c r="A11" s="494"/>
      <c r="B11" s="494"/>
      <c r="C11" s="491"/>
      <c r="D11" s="492"/>
      <c r="E11" s="518"/>
      <c r="F11" s="491"/>
      <c r="G11" s="492"/>
      <c r="H11" s="493"/>
      <c r="I11" s="491"/>
      <c r="J11" s="492"/>
      <c r="K11" s="493"/>
      <c r="L11" s="491"/>
      <c r="M11" s="492"/>
      <c r="N11" s="493"/>
      <c r="O11" s="491"/>
      <c r="P11" s="492"/>
      <c r="Q11" s="493"/>
      <c r="R11" s="491"/>
      <c r="S11" s="492"/>
      <c r="T11" s="493"/>
      <c r="U11" s="491"/>
      <c r="V11" s="492"/>
      <c r="W11" s="493"/>
      <c r="X11" s="491"/>
      <c r="Y11" s="492"/>
      <c r="Z11" s="493"/>
      <c r="AA11" s="491"/>
      <c r="AB11" s="492"/>
      <c r="AC11" s="493"/>
      <c r="AD11" s="491"/>
      <c r="AE11" s="492"/>
      <c r="AF11" s="493"/>
      <c r="AG11" s="494"/>
      <c r="AH11" s="494"/>
      <c r="AI11" s="494"/>
      <c r="AJ11" s="491"/>
      <c r="AK11" s="492"/>
      <c r="AL11" s="493"/>
      <c r="AM11" s="491"/>
      <c r="AN11" s="492"/>
      <c r="AO11" s="493"/>
      <c r="AP11" s="491"/>
      <c r="AQ11" s="492"/>
      <c r="AR11" s="493"/>
      <c r="AS11" s="491"/>
      <c r="AT11" s="492"/>
      <c r="AU11" s="493"/>
      <c r="AV11" s="491"/>
      <c r="AW11" s="492"/>
      <c r="AX11" s="493"/>
      <c r="AY11" s="491"/>
      <c r="AZ11" s="492"/>
      <c r="BA11" s="493"/>
      <c r="BB11" s="491"/>
      <c r="BC11" s="492"/>
      <c r="BD11" s="493"/>
      <c r="BE11" s="491"/>
      <c r="BF11" s="492"/>
      <c r="BG11" s="493"/>
      <c r="BH11" s="491"/>
      <c r="BI11" s="492"/>
      <c r="BJ11" s="493"/>
      <c r="BK11" s="491"/>
      <c r="BL11" s="492"/>
      <c r="BM11" s="493"/>
      <c r="BN11" s="491"/>
      <c r="BO11" s="492"/>
      <c r="BP11" s="493"/>
      <c r="BQ11" s="491"/>
      <c r="BR11" s="492"/>
      <c r="BS11" s="493"/>
      <c r="BT11" s="491"/>
      <c r="BU11" s="492"/>
      <c r="BV11" s="493"/>
      <c r="BW11" s="491"/>
      <c r="BX11" s="492"/>
      <c r="BY11" s="492"/>
      <c r="BZ11" s="494"/>
      <c r="CA11" s="494"/>
      <c r="CB11" s="494"/>
      <c r="CC11" s="491"/>
      <c r="CD11" s="492"/>
      <c r="CE11" s="493"/>
      <c r="CF11" s="491"/>
      <c r="CG11" s="492"/>
      <c r="CH11" s="493"/>
      <c r="CI11" s="491"/>
      <c r="CJ11" s="492"/>
      <c r="CK11" s="493"/>
      <c r="CL11" s="491"/>
      <c r="CM11" s="492"/>
      <c r="CN11" s="493"/>
      <c r="CO11" s="491"/>
      <c r="CP11" s="492"/>
      <c r="CQ11" s="493"/>
      <c r="CR11" s="491"/>
      <c r="CS11" s="492"/>
      <c r="CT11" s="493"/>
      <c r="CU11" s="491"/>
      <c r="CV11" s="492"/>
      <c r="CW11" s="493"/>
      <c r="CX11" s="491"/>
      <c r="CY11" s="492"/>
      <c r="CZ11" s="493"/>
      <c r="DA11" s="491"/>
      <c r="DB11" s="492"/>
      <c r="DC11" s="493"/>
      <c r="DD11" s="494"/>
      <c r="DE11" s="494"/>
      <c r="DF11" s="494"/>
      <c r="DG11" s="491"/>
      <c r="DH11" s="492"/>
      <c r="DI11" s="493"/>
      <c r="DJ11" s="501"/>
      <c r="DK11" s="502"/>
      <c r="DL11" s="503"/>
      <c r="DM11" s="501" t="s">
        <v>169</v>
      </c>
      <c r="DN11" s="502"/>
      <c r="DO11" s="503"/>
      <c r="DP11" s="504" t="s">
        <v>170</v>
      </c>
      <c r="DQ11" s="505"/>
      <c r="DR11" s="506"/>
      <c r="DS11" s="501" t="s">
        <v>171</v>
      </c>
      <c r="DT11" s="502"/>
      <c r="DU11" s="503"/>
      <c r="DV11" s="501" t="s">
        <v>238</v>
      </c>
      <c r="DW11" s="502"/>
      <c r="DX11" s="503"/>
      <c r="DY11" s="501"/>
      <c r="DZ11" s="502"/>
      <c r="EA11" s="503"/>
      <c r="EB11" s="501"/>
      <c r="EC11" s="502"/>
      <c r="ED11" s="503"/>
      <c r="EE11" s="501"/>
      <c r="EF11" s="502"/>
      <c r="EG11" s="503"/>
      <c r="EH11" s="501"/>
      <c r="EI11" s="502"/>
      <c r="EJ11" s="503"/>
      <c r="EK11" s="491"/>
      <c r="EL11" s="492"/>
      <c r="EM11" s="493"/>
      <c r="EN11" s="491"/>
      <c r="EO11" s="492"/>
      <c r="EP11" s="493"/>
      <c r="EQ11" s="491"/>
      <c r="ER11" s="492"/>
      <c r="ES11" s="493"/>
      <c r="ET11" s="494"/>
      <c r="EU11" s="494"/>
      <c r="EV11" s="494"/>
      <c r="EW11" s="491"/>
      <c r="EX11" s="492"/>
      <c r="EY11" s="493"/>
      <c r="FA11" s="163"/>
      <c r="FB11" s="163"/>
      <c r="FC11" s="163"/>
    </row>
    <row r="12" spans="1:159" s="162" customFormat="1" ht="42.75" customHeight="1">
      <c r="A12" s="494"/>
      <c r="B12" s="494"/>
      <c r="C12" s="288" t="s">
        <v>172</v>
      </c>
      <c r="D12" s="289" t="s">
        <v>173</v>
      </c>
      <c r="E12" s="288" t="s">
        <v>409</v>
      </c>
      <c r="F12" s="288" t="s">
        <v>172</v>
      </c>
      <c r="G12" s="288" t="s">
        <v>173</v>
      </c>
      <c r="H12" s="288" t="s">
        <v>409</v>
      </c>
      <c r="I12" s="288" t="s">
        <v>172</v>
      </c>
      <c r="J12" s="288" t="s">
        <v>173</v>
      </c>
      <c r="K12" s="288" t="s">
        <v>409</v>
      </c>
      <c r="L12" s="288" t="s">
        <v>172</v>
      </c>
      <c r="M12" s="288" t="s">
        <v>173</v>
      </c>
      <c r="N12" s="288" t="s">
        <v>409</v>
      </c>
      <c r="O12" s="288" t="s">
        <v>172</v>
      </c>
      <c r="P12" s="288" t="s">
        <v>173</v>
      </c>
      <c r="Q12" s="288" t="s">
        <v>409</v>
      </c>
      <c r="R12" s="288" t="s">
        <v>172</v>
      </c>
      <c r="S12" s="288" t="s">
        <v>173</v>
      </c>
      <c r="T12" s="288" t="s">
        <v>409</v>
      </c>
      <c r="U12" s="288" t="s">
        <v>172</v>
      </c>
      <c r="V12" s="288" t="s">
        <v>173</v>
      </c>
      <c r="W12" s="288" t="s">
        <v>409</v>
      </c>
      <c r="X12" s="288" t="s">
        <v>172</v>
      </c>
      <c r="Y12" s="288" t="s">
        <v>173</v>
      </c>
      <c r="Z12" s="288" t="s">
        <v>409</v>
      </c>
      <c r="AA12" s="288" t="s">
        <v>172</v>
      </c>
      <c r="AB12" s="288" t="s">
        <v>173</v>
      </c>
      <c r="AC12" s="288" t="s">
        <v>409</v>
      </c>
      <c r="AD12" s="288" t="s">
        <v>172</v>
      </c>
      <c r="AE12" s="288" t="s">
        <v>173</v>
      </c>
      <c r="AF12" s="288" t="s">
        <v>409</v>
      </c>
      <c r="AG12" s="288" t="s">
        <v>172</v>
      </c>
      <c r="AH12" s="288" t="s">
        <v>173</v>
      </c>
      <c r="AI12" s="288" t="s">
        <v>409</v>
      </c>
      <c r="AJ12" s="288" t="s">
        <v>172</v>
      </c>
      <c r="AK12" s="288" t="s">
        <v>173</v>
      </c>
      <c r="AL12" s="288" t="s">
        <v>409</v>
      </c>
      <c r="AM12" s="288" t="s">
        <v>172</v>
      </c>
      <c r="AN12" s="288" t="s">
        <v>173</v>
      </c>
      <c r="AO12" s="288" t="s">
        <v>409</v>
      </c>
      <c r="AP12" s="288" t="s">
        <v>172</v>
      </c>
      <c r="AQ12" s="288" t="s">
        <v>173</v>
      </c>
      <c r="AR12" s="288" t="s">
        <v>409</v>
      </c>
      <c r="AS12" s="288" t="s">
        <v>172</v>
      </c>
      <c r="AT12" s="288" t="s">
        <v>173</v>
      </c>
      <c r="AU12" s="288" t="s">
        <v>409</v>
      </c>
      <c r="AV12" s="288" t="s">
        <v>172</v>
      </c>
      <c r="AW12" s="288" t="s">
        <v>173</v>
      </c>
      <c r="AX12" s="288" t="s">
        <v>174</v>
      </c>
      <c r="AY12" s="288" t="s">
        <v>172</v>
      </c>
      <c r="AZ12" s="288" t="s">
        <v>173</v>
      </c>
      <c r="BA12" s="288" t="s">
        <v>409</v>
      </c>
      <c r="BB12" s="288"/>
      <c r="BC12" s="288"/>
      <c r="BD12" s="288"/>
      <c r="BE12" s="288" t="s">
        <v>175</v>
      </c>
      <c r="BF12" s="288" t="s">
        <v>173</v>
      </c>
      <c r="BG12" s="288" t="s">
        <v>409</v>
      </c>
      <c r="BH12" s="288" t="s">
        <v>172</v>
      </c>
      <c r="BI12" s="288" t="s">
        <v>173</v>
      </c>
      <c r="BJ12" s="288" t="s">
        <v>174</v>
      </c>
      <c r="BK12" s="288" t="s">
        <v>172</v>
      </c>
      <c r="BL12" s="288" t="s">
        <v>173</v>
      </c>
      <c r="BM12" s="288" t="s">
        <v>174</v>
      </c>
      <c r="BN12" s="288" t="s">
        <v>175</v>
      </c>
      <c r="BO12" s="288" t="s">
        <v>173</v>
      </c>
      <c r="BP12" s="288" t="s">
        <v>409</v>
      </c>
      <c r="BQ12" s="288" t="s">
        <v>175</v>
      </c>
      <c r="BR12" s="288" t="s">
        <v>173</v>
      </c>
      <c r="BS12" s="288" t="s">
        <v>409</v>
      </c>
      <c r="BT12" s="288" t="s">
        <v>175</v>
      </c>
      <c r="BU12" s="288" t="s">
        <v>173</v>
      </c>
      <c r="BV12" s="288" t="s">
        <v>174</v>
      </c>
      <c r="BW12" s="288" t="s">
        <v>175</v>
      </c>
      <c r="BX12" s="288" t="s">
        <v>173</v>
      </c>
      <c r="BY12" s="288" t="s">
        <v>174</v>
      </c>
      <c r="BZ12" s="288" t="s">
        <v>172</v>
      </c>
      <c r="CA12" s="288" t="s">
        <v>173</v>
      </c>
      <c r="CB12" s="288" t="s">
        <v>409</v>
      </c>
      <c r="CC12" s="288" t="s">
        <v>172</v>
      </c>
      <c r="CD12" s="288" t="s">
        <v>173</v>
      </c>
      <c r="CE12" s="288" t="s">
        <v>409</v>
      </c>
      <c r="CF12" s="288" t="s">
        <v>172</v>
      </c>
      <c r="CG12" s="288" t="s">
        <v>173</v>
      </c>
      <c r="CH12" s="288" t="s">
        <v>409</v>
      </c>
      <c r="CI12" s="288" t="s">
        <v>172</v>
      </c>
      <c r="CJ12" s="288" t="s">
        <v>173</v>
      </c>
      <c r="CK12" s="288" t="s">
        <v>409</v>
      </c>
      <c r="CL12" s="288" t="s">
        <v>172</v>
      </c>
      <c r="CM12" s="288" t="s">
        <v>173</v>
      </c>
      <c r="CN12" s="288" t="s">
        <v>409</v>
      </c>
      <c r="CO12" s="288" t="s">
        <v>172</v>
      </c>
      <c r="CP12" s="288" t="s">
        <v>173</v>
      </c>
      <c r="CQ12" s="288" t="s">
        <v>409</v>
      </c>
      <c r="CR12" s="288" t="s">
        <v>172</v>
      </c>
      <c r="CS12" s="288" t="s">
        <v>173</v>
      </c>
      <c r="CT12" s="288" t="s">
        <v>409</v>
      </c>
      <c r="CU12" s="288" t="s">
        <v>172</v>
      </c>
      <c r="CV12" s="288" t="s">
        <v>173</v>
      </c>
      <c r="CW12" s="288" t="s">
        <v>409</v>
      </c>
      <c r="CX12" s="288" t="s">
        <v>172</v>
      </c>
      <c r="CY12" s="288" t="s">
        <v>173</v>
      </c>
      <c r="CZ12" s="288" t="s">
        <v>174</v>
      </c>
      <c r="DA12" s="288" t="s">
        <v>172</v>
      </c>
      <c r="DB12" s="288" t="s">
        <v>173</v>
      </c>
      <c r="DC12" s="288" t="s">
        <v>174</v>
      </c>
      <c r="DD12" s="288" t="s">
        <v>172</v>
      </c>
      <c r="DE12" s="288" t="s">
        <v>173</v>
      </c>
      <c r="DF12" s="288" t="s">
        <v>174</v>
      </c>
      <c r="DG12" s="288" t="s">
        <v>172</v>
      </c>
      <c r="DH12" s="288" t="s">
        <v>173</v>
      </c>
      <c r="DI12" s="288" t="s">
        <v>409</v>
      </c>
      <c r="DJ12" s="288" t="s">
        <v>172</v>
      </c>
      <c r="DK12" s="288" t="s">
        <v>173</v>
      </c>
      <c r="DL12" s="288" t="s">
        <v>409</v>
      </c>
      <c r="DM12" s="288" t="s">
        <v>172</v>
      </c>
      <c r="DN12" s="288" t="s">
        <v>173</v>
      </c>
      <c r="DO12" s="288" t="s">
        <v>409</v>
      </c>
      <c r="DP12" s="288" t="s">
        <v>172</v>
      </c>
      <c r="DQ12" s="288" t="s">
        <v>173</v>
      </c>
      <c r="DR12" s="288" t="s">
        <v>409</v>
      </c>
      <c r="DS12" s="288" t="s">
        <v>172</v>
      </c>
      <c r="DT12" s="288" t="s">
        <v>173</v>
      </c>
      <c r="DU12" s="288" t="s">
        <v>409</v>
      </c>
      <c r="DV12" s="288" t="s">
        <v>172</v>
      </c>
      <c r="DW12" s="288" t="s">
        <v>173</v>
      </c>
      <c r="DX12" s="288" t="s">
        <v>409</v>
      </c>
      <c r="DY12" s="288" t="s">
        <v>172</v>
      </c>
      <c r="DZ12" s="288" t="s">
        <v>173</v>
      </c>
      <c r="EA12" s="288" t="s">
        <v>409</v>
      </c>
      <c r="EB12" s="288" t="s">
        <v>172</v>
      </c>
      <c r="EC12" s="288" t="s">
        <v>173</v>
      </c>
      <c r="ED12" s="288" t="s">
        <v>409</v>
      </c>
      <c r="EE12" s="288" t="s">
        <v>172</v>
      </c>
      <c r="EF12" s="288" t="s">
        <v>173</v>
      </c>
      <c r="EG12" s="288" t="s">
        <v>409</v>
      </c>
      <c r="EH12" s="288" t="s">
        <v>172</v>
      </c>
      <c r="EI12" s="288" t="s">
        <v>173</v>
      </c>
      <c r="EJ12" s="288" t="s">
        <v>409</v>
      </c>
      <c r="EK12" s="288" t="s">
        <v>172</v>
      </c>
      <c r="EL12" s="288" t="s">
        <v>173</v>
      </c>
      <c r="EM12" s="288" t="s">
        <v>409</v>
      </c>
      <c r="EN12" s="288" t="s">
        <v>172</v>
      </c>
      <c r="EO12" s="288" t="s">
        <v>173</v>
      </c>
      <c r="EP12" s="288" t="s">
        <v>409</v>
      </c>
      <c r="EQ12" s="288" t="s">
        <v>172</v>
      </c>
      <c r="ER12" s="288" t="s">
        <v>173</v>
      </c>
      <c r="ES12" s="288" t="s">
        <v>409</v>
      </c>
      <c r="ET12" s="288" t="s">
        <v>172</v>
      </c>
      <c r="EU12" s="288" t="s">
        <v>173</v>
      </c>
      <c r="EV12" s="288" t="s">
        <v>409</v>
      </c>
      <c r="EW12" s="288" t="s">
        <v>172</v>
      </c>
      <c r="EX12" s="288" t="s">
        <v>173</v>
      </c>
      <c r="EY12" s="288" t="s">
        <v>409</v>
      </c>
      <c r="FA12" s="163"/>
      <c r="FB12" s="163"/>
      <c r="FC12" s="163"/>
    </row>
    <row r="13" spans="1:159" s="162" customFormat="1" ht="24" customHeight="1">
      <c r="A13" s="290">
        <v>1</v>
      </c>
      <c r="B13" s="288">
        <v>2</v>
      </c>
      <c r="C13" s="290">
        <v>3</v>
      </c>
      <c r="D13" s="289">
        <v>4</v>
      </c>
      <c r="E13" s="290">
        <v>5</v>
      </c>
      <c r="F13" s="288">
        <v>6</v>
      </c>
      <c r="G13" s="290">
        <v>7</v>
      </c>
      <c r="H13" s="288">
        <v>8</v>
      </c>
      <c r="I13" s="290">
        <v>9</v>
      </c>
      <c r="J13" s="288">
        <v>10</v>
      </c>
      <c r="K13" s="290">
        <v>11</v>
      </c>
      <c r="L13" s="290">
        <v>12</v>
      </c>
      <c r="M13" s="290">
        <v>13</v>
      </c>
      <c r="N13" s="290">
        <v>14</v>
      </c>
      <c r="O13" s="290">
        <v>15</v>
      </c>
      <c r="P13" s="290">
        <v>16</v>
      </c>
      <c r="Q13" s="290">
        <v>17</v>
      </c>
      <c r="R13" s="290">
        <v>18</v>
      </c>
      <c r="S13" s="290">
        <v>19</v>
      </c>
      <c r="T13" s="290">
        <v>20</v>
      </c>
      <c r="U13" s="290">
        <v>21</v>
      </c>
      <c r="V13" s="290">
        <v>22</v>
      </c>
      <c r="W13" s="290">
        <v>23</v>
      </c>
      <c r="X13" s="288">
        <v>24</v>
      </c>
      <c r="Y13" s="290">
        <v>25</v>
      </c>
      <c r="Z13" s="288">
        <v>26</v>
      </c>
      <c r="AA13" s="290">
        <v>27</v>
      </c>
      <c r="AB13" s="288">
        <v>28</v>
      </c>
      <c r="AC13" s="290">
        <v>29</v>
      </c>
      <c r="AD13" s="288">
        <v>30</v>
      </c>
      <c r="AE13" s="290">
        <v>31</v>
      </c>
      <c r="AF13" s="288">
        <v>32</v>
      </c>
      <c r="AG13" s="290">
        <v>33</v>
      </c>
      <c r="AH13" s="288">
        <v>34</v>
      </c>
      <c r="AI13" s="290">
        <v>35</v>
      </c>
      <c r="AJ13" s="290">
        <v>36</v>
      </c>
      <c r="AK13" s="290">
        <v>37</v>
      </c>
      <c r="AL13" s="290">
        <v>38</v>
      </c>
      <c r="AM13" s="288">
        <v>39</v>
      </c>
      <c r="AN13" s="290">
        <v>40</v>
      </c>
      <c r="AO13" s="288">
        <v>41</v>
      </c>
      <c r="AP13" s="290">
        <v>42</v>
      </c>
      <c r="AQ13" s="288">
        <v>43</v>
      </c>
      <c r="AR13" s="290">
        <v>44</v>
      </c>
      <c r="AS13" s="290">
        <v>45</v>
      </c>
      <c r="AT13" s="288">
        <v>46</v>
      </c>
      <c r="AU13" s="290">
        <v>47</v>
      </c>
      <c r="AV13" s="290">
        <v>48</v>
      </c>
      <c r="AW13" s="288">
        <v>49</v>
      </c>
      <c r="AX13" s="290">
        <v>50</v>
      </c>
      <c r="AY13" s="290">
        <v>48</v>
      </c>
      <c r="AZ13" s="288">
        <v>49</v>
      </c>
      <c r="BA13" s="290">
        <v>50</v>
      </c>
      <c r="BB13" s="290">
        <v>51</v>
      </c>
      <c r="BC13" s="290">
        <v>52</v>
      </c>
      <c r="BD13" s="290">
        <v>56</v>
      </c>
      <c r="BE13" s="288">
        <v>51</v>
      </c>
      <c r="BF13" s="290">
        <v>52</v>
      </c>
      <c r="BG13" s="288">
        <v>53</v>
      </c>
      <c r="BH13" s="290">
        <v>60</v>
      </c>
      <c r="BI13" s="291">
        <v>61</v>
      </c>
      <c r="BJ13" s="292">
        <v>62</v>
      </c>
      <c r="BK13" s="290">
        <v>63</v>
      </c>
      <c r="BL13" s="290">
        <v>64</v>
      </c>
      <c r="BM13" s="290">
        <v>65</v>
      </c>
      <c r="BN13" s="290">
        <v>66</v>
      </c>
      <c r="BO13" s="290">
        <v>67</v>
      </c>
      <c r="BP13" s="290">
        <v>68</v>
      </c>
      <c r="BQ13" s="288">
        <v>54</v>
      </c>
      <c r="BR13" s="290">
        <v>55</v>
      </c>
      <c r="BS13" s="288">
        <v>56</v>
      </c>
      <c r="BT13" s="290">
        <v>72</v>
      </c>
      <c r="BU13" s="288">
        <v>73</v>
      </c>
      <c r="BV13" s="290">
        <v>74</v>
      </c>
      <c r="BW13" s="288">
        <v>75</v>
      </c>
      <c r="BX13" s="290">
        <v>76</v>
      </c>
      <c r="BY13" s="288">
        <v>77</v>
      </c>
      <c r="BZ13" s="290">
        <v>57</v>
      </c>
      <c r="CA13" s="288">
        <v>58</v>
      </c>
      <c r="CB13" s="290">
        <v>59</v>
      </c>
      <c r="CC13" s="288">
        <v>60</v>
      </c>
      <c r="CD13" s="290">
        <v>61</v>
      </c>
      <c r="CE13" s="288">
        <v>62</v>
      </c>
      <c r="CF13" s="290">
        <v>63</v>
      </c>
      <c r="CG13" s="288">
        <v>64</v>
      </c>
      <c r="CH13" s="290">
        <v>65</v>
      </c>
      <c r="CI13" s="288">
        <v>66</v>
      </c>
      <c r="CJ13" s="290">
        <v>67</v>
      </c>
      <c r="CK13" s="288">
        <v>68</v>
      </c>
      <c r="CL13" s="290">
        <v>69</v>
      </c>
      <c r="CM13" s="288">
        <v>70</v>
      </c>
      <c r="CN13" s="290">
        <v>71</v>
      </c>
      <c r="CO13" s="290">
        <v>72</v>
      </c>
      <c r="CP13" s="290">
        <v>73</v>
      </c>
      <c r="CQ13" s="290">
        <v>74</v>
      </c>
      <c r="CR13" s="290">
        <v>75</v>
      </c>
      <c r="CS13" s="290">
        <v>76</v>
      </c>
      <c r="CT13" s="290">
        <v>77</v>
      </c>
      <c r="CU13" s="290">
        <v>78</v>
      </c>
      <c r="CV13" s="290">
        <v>79</v>
      </c>
      <c r="CW13" s="290">
        <v>80</v>
      </c>
      <c r="CX13" s="288">
        <v>96</v>
      </c>
      <c r="CY13" s="290">
        <v>97</v>
      </c>
      <c r="CZ13" s="288">
        <v>98</v>
      </c>
      <c r="DA13" s="288">
        <v>99</v>
      </c>
      <c r="DB13" s="288">
        <v>100</v>
      </c>
      <c r="DC13" s="288">
        <v>101</v>
      </c>
      <c r="DD13" s="288">
        <v>102</v>
      </c>
      <c r="DE13" s="288">
        <v>103</v>
      </c>
      <c r="DF13" s="288">
        <v>104</v>
      </c>
      <c r="DG13" s="290">
        <v>81</v>
      </c>
      <c r="DH13" s="288">
        <v>82</v>
      </c>
      <c r="DI13" s="290">
        <v>83</v>
      </c>
      <c r="DJ13" s="288">
        <v>84</v>
      </c>
      <c r="DK13" s="290">
        <v>85</v>
      </c>
      <c r="DL13" s="288">
        <v>86</v>
      </c>
      <c r="DM13" s="290">
        <v>87</v>
      </c>
      <c r="DN13" s="288">
        <v>88</v>
      </c>
      <c r="DO13" s="290">
        <v>89</v>
      </c>
      <c r="DP13" s="288">
        <v>90</v>
      </c>
      <c r="DQ13" s="290">
        <v>91</v>
      </c>
      <c r="DR13" s="288">
        <v>92</v>
      </c>
      <c r="DS13" s="290">
        <v>93</v>
      </c>
      <c r="DT13" s="288">
        <v>94</v>
      </c>
      <c r="DU13" s="290">
        <v>95</v>
      </c>
      <c r="DV13" s="288">
        <v>96</v>
      </c>
      <c r="DW13" s="288">
        <v>97</v>
      </c>
      <c r="DX13" s="288">
        <v>98</v>
      </c>
      <c r="DY13" s="290">
        <v>99</v>
      </c>
      <c r="DZ13" s="288">
        <v>100</v>
      </c>
      <c r="EA13" s="290">
        <v>101</v>
      </c>
      <c r="EB13" s="288">
        <v>102</v>
      </c>
      <c r="EC13" s="290">
        <v>103</v>
      </c>
      <c r="ED13" s="288">
        <v>104</v>
      </c>
      <c r="EE13" s="290">
        <v>105</v>
      </c>
      <c r="EF13" s="288">
        <v>106</v>
      </c>
      <c r="EG13" s="290">
        <v>107</v>
      </c>
      <c r="EH13" s="288">
        <v>108</v>
      </c>
      <c r="EI13" s="290">
        <v>109</v>
      </c>
      <c r="EJ13" s="288">
        <v>110</v>
      </c>
      <c r="EK13" s="290">
        <v>111</v>
      </c>
      <c r="EL13" s="288">
        <v>112</v>
      </c>
      <c r="EM13" s="290">
        <v>113</v>
      </c>
      <c r="EN13" s="288">
        <v>114</v>
      </c>
      <c r="EO13" s="290">
        <v>115</v>
      </c>
      <c r="EP13" s="288">
        <v>116</v>
      </c>
      <c r="EQ13" s="290">
        <v>117</v>
      </c>
      <c r="ER13" s="288">
        <v>118</v>
      </c>
      <c r="ES13" s="290">
        <v>119</v>
      </c>
      <c r="ET13" s="288">
        <v>120</v>
      </c>
      <c r="EU13" s="290">
        <v>121</v>
      </c>
      <c r="EV13" s="288">
        <v>122</v>
      </c>
      <c r="EW13" s="290">
        <v>123</v>
      </c>
      <c r="EX13" s="288">
        <v>124</v>
      </c>
      <c r="EY13" s="290">
        <v>125</v>
      </c>
    </row>
    <row r="14" spans="1:159" s="162" customFormat="1" ht="25.5" customHeight="1">
      <c r="A14" s="338">
        <v>1</v>
      </c>
      <c r="B14" s="339" t="s">
        <v>289</v>
      </c>
      <c r="C14" s="293">
        <f>F14+BZ14</f>
        <v>2809.4319999999998</v>
      </c>
      <c r="D14" s="294">
        <f t="shared" ref="D14:D29" si="0">G14+CA14+CY14</f>
        <v>431.76053999999999</v>
      </c>
      <c r="E14" s="295">
        <f t="shared" ref="E14:E29" si="1">D14/C14*100</f>
        <v>15.368250237058595</v>
      </c>
      <c r="F14" s="296">
        <f t="shared" ref="F14" si="2">I14+X14+AA14+AD14+AG14+AM14+AS14+BE14+BQ14+BN14+AJ14+AY14+L14+R14+O14+U14+AP14</f>
        <v>669.78</v>
      </c>
      <c r="G14" s="296">
        <f t="shared" ref="G14:G29" si="3">J14+Y14+AB14+AE14+AH14+AN14+AT14+BF14+AK14+BR14+BO14+AZ14+M14+S14+P14+V14+AQ14</f>
        <v>110.76443999999999</v>
      </c>
      <c r="H14" s="295">
        <f>G14/F14*100</f>
        <v>16.537436173071754</v>
      </c>
      <c r="I14" s="297">
        <f>Але!C6</f>
        <v>89.8</v>
      </c>
      <c r="J14" s="445">
        <f>Але!D6</f>
        <v>7.0953799999999996</v>
      </c>
      <c r="K14" s="295">
        <f>J14/I14*100</f>
        <v>7.9013140311804007</v>
      </c>
      <c r="L14" s="295">
        <f>Але!C8</f>
        <v>95.74</v>
      </c>
      <c r="M14" s="295">
        <f>Але!D8</f>
        <v>26.958549999999999</v>
      </c>
      <c r="N14" s="295">
        <f>M14/L14*100</f>
        <v>28.158084395237097</v>
      </c>
      <c r="O14" s="295">
        <f>Але!C9</f>
        <v>1.03</v>
      </c>
      <c r="P14" s="330">
        <f>Але!D9</f>
        <v>0.17574000000000001</v>
      </c>
      <c r="Q14" s="295">
        <f>P14/O14*100</f>
        <v>17.062135922330096</v>
      </c>
      <c r="R14" s="295">
        <f>Але!C10</f>
        <v>159.91</v>
      </c>
      <c r="S14" s="295">
        <f>Але!D10</f>
        <v>37.837769999999999</v>
      </c>
      <c r="T14" s="295">
        <f>S14/R14*100</f>
        <v>23.661916077793759</v>
      </c>
      <c r="U14" s="295">
        <f>Але!C11</f>
        <v>0</v>
      </c>
      <c r="V14" s="299">
        <f>Але!D11</f>
        <v>-5.5684800000000001</v>
      </c>
      <c r="W14" s="295" t="e">
        <f>V14/U14*100</f>
        <v>#DIV/0!</v>
      </c>
      <c r="X14" s="300">
        <f>Але!C13</f>
        <v>35</v>
      </c>
      <c r="Y14" s="444">
        <f>Але!D13</f>
        <v>24.1173</v>
      </c>
      <c r="Z14" s="295">
        <f>Y14/X14*100</f>
        <v>68.906571428571425</v>
      </c>
      <c r="AA14" s="300">
        <f>Але!C15</f>
        <v>38</v>
      </c>
      <c r="AB14" s="301">
        <f>Але!D15</f>
        <v>3.0829399999999998</v>
      </c>
      <c r="AC14" s="295">
        <f>AB14/AA14*100</f>
        <v>8.1129999999999995</v>
      </c>
      <c r="AD14" s="300">
        <f>Але!C16</f>
        <v>193</v>
      </c>
      <c r="AE14" s="300">
        <f>Але!D16</f>
        <v>16.165240000000001</v>
      </c>
      <c r="AF14" s="295">
        <f t="shared" ref="AF14:AF29" si="4">AE14/AD14*100</f>
        <v>8.375772020725389</v>
      </c>
      <c r="AG14" s="295">
        <f>Але!C18</f>
        <v>3</v>
      </c>
      <c r="AH14" s="295">
        <f>Але!D18</f>
        <v>0.9</v>
      </c>
      <c r="AI14" s="295">
        <f>AH14/AG14*100</f>
        <v>30</v>
      </c>
      <c r="AJ14" s="295"/>
      <c r="AK14" s="295"/>
      <c r="AL14" s="302" t="e">
        <f t="shared" ref="AL14:AL23" si="5">AK14/AJ14*100</f>
        <v>#DIV/0!</v>
      </c>
      <c r="AM14" s="300">
        <v>0</v>
      </c>
      <c r="AN14" s="300">
        <v>0</v>
      </c>
      <c r="AO14" s="302" t="e">
        <f t="shared" ref="AO14:AO29" si="6">AN14/AM14*100</f>
        <v>#DIV/0!</v>
      </c>
      <c r="AP14" s="300">
        <f>Але!C27</f>
        <v>54.3</v>
      </c>
      <c r="AQ14" s="303">
        <f>Але!D27</f>
        <v>0</v>
      </c>
      <c r="AR14" s="295">
        <f>AQ14/AP14*100</f>
        <v>0</v>
      </c>
      <c r="AS14" s="304">
        <f>Але!C28</f>
        <v>0</v>
      </c>
      <c r="AT14" s="303">
        <f>Але!D28</f>
        <v>0</v>
      </c>
      <c r="AU14" s="295" t="e">
        <f>AT14/AS14*100</f>
        <v>#DIV/0!</v>
      </c>
      <c r="AV14" s="300"/>
      <c r="AW14" s="300"/>
      <c r="AX14" s="295" t="e">
        <f>AW14/AV14*100</f>
        <v>#DIV/0!</v>
      </c>
      <c r="AY14" s="295">
        <f>Але!C29</f>
        <v>0</v>
      </c>
      <c r="AZ14" s="305">
        <f>Але!D29</f>
        <v>0</v>
      </c>
      <c r="BA14" s="295" t="e">
        <f>AZ14/AY14*100</f>
        <v>#DIV/0!</v>
      </c>
      <c r="BB14" s="295">
        <f>Але!C30</f>
        <v>0</v>
      </c>
      <c r="BC14" s="295">
        <f>Але!D30</f>
        <v>0</v>
      </c>
      <c r="BD14" s="295" t="e">
        <f>BC14/BB14*100</f>
        <v>#DIV/0!</v>
      </c>
      <c r="BE14" s="295">
        <f>Але!C32</f>
        <v>0</v>
      </c>
      <c r="BF14" s="295">
        <f>Але!D31</f>
        <v>0</v>
      </c>
      <c r="BG14" s="295" t="e">
        <f>BF14/BE14*100</f>
        <v>#DIV/0!</v>
      </c>
      <c r="BH14" s="295"/>
      <c r="BI14" s="295"/>
      <c r="BJ14" s="295" t="e">
        <f>BI14/BH14*100</f>
        <v>#DIV/0!</v>
      </c>
      <c r="BK14" s="295"/>
      <c r="BL14" s="295"/>
      <c r="BM14" s="295"/>
      <c r="BN14" s="295"/>
      <c r="BO14" s="306"/>
      <c r="BP14" s="295" t="e">
        <f>BO14/BN14*100</f>
        <v>#DIV/0!</v>
      </c>
      <c r="BQ14" s="295">
        <f>Але!C34</f>
        <v>0</v>
      </c>
      <c r="BR14" s="475">
        <f>Але!D35</f>
        <v>0</v>
      </c>
      <c r="BS14" s="295" t="e">
        <f>BR14/BQ14*100</f>
        <v>#DIV/0!</v>
      </c>
      <c r="BT14" s="295"/>
      <c r="BU14" s="295"/>
      <c r="BV14" s="307" t="e">
        <f>BT14/BU14*100</f>
        <v>#DIV/0!</v>
      </c>
      <c r="BW14" s="307"/>
      <c r="BX14" s="307"/>
      <c r="BY14" s="307" t="e">
        <f>BW14/BX14*100</f>
        <v>#DIV/0!</v>
      </c>
      <c r="BZ14" s="300">
        <f>CC14+CF14+CI14+CL14+CR14+CO14</f>
        <v>2139.652</v>
      </c>
      <c r="CA14" s="300">
        <f>CD14+CG14+CJ14+CM14+CS14+CP14+CV14</f>
        <v>320.99610000000001</v>
      </c>
      <c r="CB14" s="295">
        <f>CA14/BZ14*100</f>
        <v>15.002257376433178</v>
      </c>
      <c r="CC14" s="302">
        <f>Але!C39</f>
        <v>1194.4000000000001</v>
      </c>
      <c r="CD14" s="302">
        <f>Але!D39</f>
        <v>298.596</v>
      </c>
      <c r="CE14" s="295">
        <f>CD14/CC14*100</f>
        <v>24.999665103817815</v>
      </c>
      <c r="CF14" s="295">
        <f>Але!C40</f>
        <v>100</v>
      </c>
      <c r="CG14" s="295">
        <f>Але!D40</f>
        <v>0</v>
      </c>
      <c r="CH14" s="295">
        <f>CG14/CF14*100</f>
        <v>0</v>
      </c>
      <c r="CI14" s="295">
        <f>Але!C41</f>
        <v>751.93</v>
      </c>
      <c r="CJ14" s="295">
        <f>Але!D41</f>
        <v>0</v>
      </c>
      <c r="CK14" s="295">
        <f t="shared" ref="CK14:CK29" si="7">CJ14/CI14*100</f>
        <v>0</v>
      </c>
      <c r="CL14" s="295">
        <f>Але!C42</f>
        <v>93.322000000000003</v>
      </c>
      <c r="CM14" s="295">
        <f>Але!D42</f>
        <v>22.400099999999998</v>
      </c>
      <c r="CN14" s="295">
        <f t="shared" ref="CN14:CN31" si="8">CM14/CL14*100</f>
        <v>24.003021795503738</v>
      </c>
      <c r="CO14" s="295">
        <f>Але!C44</f>
        <v>0</v>
      </c>
      <c r="CP14" s="295">
        <f>Але!D44</f>
        <v>0</v>
      </c>
      <c r="CQ14" s="295" t="e">
        <f>CP14/CO14*100</f>
        <v>#DIV/0!</v>
      </c>
      <c r="CR14" s="299">
        <f>Але!C43</f>
        <v>0</v>
      </c>
      <c r="CS14" s="295">
        <f>Але!D43</f>
        <v>0</v>
      </c>
      <c r="CT14" s="295" t="e">
        <f t="shared" ref="CT14:CT31" si="9">CS14/CR14*100</f>
        <v>#DIV/0!</v>
      </c>
      <c r="CU14" s="295"/>
      <c r="CV14" s="295">
        <f>Але!D45</f>
        <v>0</v>
      </c>
      <c r="CW14" s="295" t="e">
        <f>CV13:CV14/CU14*100</f>
        <v>#DIV/0!</v>
      </c>
      <c r="CX14" s="300"/>
      <c r="CY14" s="300"/>
      <c r="CZ14" s="295" t="e">
        <f>CY14/CX14*100</f>
        <v>#DIV/0!</v>
      </c>
      <c r="DA14" s="295"/>
      <c r="DB14" s="295"/>
      <c r="DC14" s="295"/>
      <c r="DD14" s="295"/>
      <c r="DE14" s="295"/>
      <c r="DF14" s="295"/>
      <c r="DG14" s="304">
        <f>DJ14+DY14+EB14+EE14+EH14+EK14+EN14+EQ14+ET14</f>
        <v>2964.19004</v>
      </c>
      <c r="DH14" s="304">
        <f>DK14+DZ14+EC14+EF14+EI14+EL14+EO14+ER14+EU14</f>
        <v>313.07578000000001</v>
      </c>
      <c r="DI14" s="295">
        <f>DH14/DG14*100</f>
        <v>10.561933471714925</v>
      </c>
      <c r="DJ14" s="300">
        <f>DM14+DP14+DS14+DV14</f>
        <v>1137.7750000000001</v>
      </c>
      <c r="DK14" s="300">
        <f>DN14+DQ14+DT14+DW14</f>
        <v>164.42352</v>
      </c>
      <c r="DL14" s="295">
        <f>DK14/DJ14*100</f>
        <v>14.451321219045942</v>
      </c>
      <c r="DM14" s="295">
        <f>Але!C54</f>
        <v>1114</v>
      </c>
      <c r="DN14" s="295">
        <f>Але!D54</f>
        <v>164.42352</v>
      </c>
      <c r="DO14" s="295">
        <f>DN14/DM14*100</f>
        <v>14.759741472172353</v>
      </c>
      <c r="DP14" s="295">
        <f>Але!C57</f>
        <v>12</v>
      </c>
      <c r="DQ14" s="295">
        <f>Але!D57</f>
        <v>0</v>
      </c>
      <c r="DR14" s="295">
        <f>DQ14/DP14*100</f>
        <v>0</v>
      </c>
      <c r="DS14" s="295">
        <f>Але!C58</f>
        <v>5</v>
      </c>
      <c r="DT14" s="295">
        <f>Але!D58</f>
        <v>0</v>
      </c>
      <c r="DU14" s="295">
        <f>DT14/DS14*100</f>
        <v>0</v>
      </c>
      <c r="DV14" s="295">
        <f>Але!C59</f>
        <v>6.7750000000000004</v>
      </c>
      <c r="DW14" s="295">
        <f>Але!D59</f>
        <v>0</v>
      </c>
      <c r="DX14" s="295">
        <f>DW14/DV14*100</f>
        <v>0</v>
      </c>
      <c r="DY14" s="295">
        <f>Але!C61</f>
        <v>90.341999999999999</v>
      </c>
      <c r="DZ14" s="295">
        <f>Але!D61</f>
        <v>17.79326</v>
      </c>
      <c r="EA14" s="295">
        <f>DZ14/DY14*100</f>
        <v>19.695446193354144</v>
      </c>
      <c r="EB14" s="295">
        <f>Але!C62</f>
        <v>10</v>
      </c>
      <c r="EC14" s="295">
        <f>Але!D62</f>
        <v>0</v>
      </c>
      <c r="ED14" s="295">
        <f>EC14/EB14*100</f>
        <v>0</v>
      </c>
      <c r="EE14" s="300">
        <f>Але!C68</f>
        <v>1166.02604</v>
      </c>
      <c r="EF14" s="300">
        <f>Але!D68</f>
        <v>58.859000000000002</v>
      </c>
      <c r="EG14" s="295">
        <f>EF14/EE14*100</f>
        <v>5.0478289490001442</v>
      </c>
      <c r="EH14" s="300">
        <f>Але!C73</f>
        <v>275.04700000000003</v>
      </c>
      <c r="EI14" s="300">
        <f>Але!D73</f>
        <v>0</v>
      </c>
      <c r="EJ14" s="295">
        <f>EI14/EH14*100</f>
        <v>0</v>
      </c>
      <c r="EK14" s="300">
        <f>Але!C77</f>
        <v>283</v>
      </c>
      <c r="EL14" s="308">
        <f>Але!D77</f>
        <v>72</v>
      </c>
      <c r="EM14" s="295">
        <f t="shared" ref="EM14:EM29" si="10">EL14/EK14*100</f>
        <v>25.441696113074201</v>
      </c>
      <c r="EN14" s="295">
        <f>Але!C79</f>
        <v>0</v>
      </c>
      <c r="EO14" s="295">
        <f>Але!D79</f>
        <v>0</v>
      </c>
      <c r="EP14" s="295" t="e">
        <f t="shared" ref="EP14:EP29" si="11">EO14/EN14*100</f>
        <v>#DIV/0!</v>
      </c>
      <c r="EQ14" s="296">
        <f>Але!C84</f>
        <v>2</v>
      </c>
      <c r="ER14" s="296">
        <f>Але!D84</f>
        <v>0</v>
      </c>
      <c r="ES14" s="295">
        <f>ER14/EQ14*100</f>
        <v>0</v>
      </c>
      <c r="ET14" s="295">
        <f>Але!C90</f>
        <v>0</v>
      </c>
      <c r="EU14" s="295">
        <f>Але!D90</f>
        <v>0</v>
      </c>
      <c r="EV14" s="295" t="e">
        <f>EU14/ET14*100</f>
        <v>#DIV/0!</v>
      </c>
      <c r="EW14" s="309">
        <f t="shared" ref="EW14:EW29" si="12">SUM(C14-DG14)</f>
        <v>-154.75804000000016</v>
      </c>
      <c r="EX14" s="309">
        <f t="shared" ref="EX14:EX29" si="13">SUM(D14-DH14)</f>
        <v>118.68475999999998</v>
      </c>
      <c r="EY14" s="295">
        <f>EX14/EW14*100%</f>
        <v>-0.76690529293340659</v>
      </c>
      <c r="EZ14" s="164"/>
      <c r="FA14" s="165"/>
      <c r="FC14" s="165"/>
    </row>
    <row r="15" spans="1:159" s="166" customFormat="1" ht="22.5" customHeight="1">
      <c r="A15" s="338">
        <v>2</v>
      </c>
      <c r="B15" s="340" t="s">
        <v>290</v>
      </c>
      <c r="C15" s="293">
        <f t="shared" ref="C15:C29" si="14">F15+BZ15</f>
        <v>16774.275430000002</v>
      </c>
      <c r="D15" s="294">
        <f>G15+CA15+CY15</f>
        <v>1463.2002699999998</v>
      </c>
      <c r="E15" s="302">
        <f t="shared" si="1"/>
        <v>8.7228821066281945</v>
      </c>
      <c r="F15" s="296">
        <f t="shared" ref="F15:F29" si="15">I15+X15+AA15+AD15+AG15+AM15+AS15+BE15+BQ15+BN15+AJ15+AY15+L15+R15+O15+U15+AP15</f>
        <v>3998.06</v>
      </c>
      <c r="G15" s="296">
        <f>J15+Y15+AB15+AE15+AH15+AN15+AT15+BF15+AK15+BR15+BO15+AZ15+M15+S15+P15+V15+AQ15</f>
        <v>443.51536999999996</v>
      </c>
      <c r="H15" s="302">
        <f t="shared" ref="H15:H29" si="16">G15/F15*100</f>
        <v>11.093264483274387</v>
      </c>
      <c r="I15" s="310">
        <f>Сун!C6</f>
        <v>403.6</v>
      </c>
      <c r="J15" s="446">
        <f>Сун!D6</f>
        <v>75.091449999999995</v>
      </c>
      <c r="K15" s="302">
        <f t="shared" ref="K15:K29" si="17">J15/I15*100</f>
        <v>18.605413776015855</v>
      </c>
      <c r="L15" s="302">
        <f>Сун!C8</f>
        <v>275.86</v>
      </c>
      <c r="M15" s="302">
        <f>Сун!D8</f>
        <v>77.672700000000006</v>
      </c>
      <c r="N15" s="295">
        <f t="shared" ref="N15:N29" si="18">M15/L15*100</f>
        <v>28.156564924236932</v>
      </c>
      <c r="O15" s="295">
        <f>Сун!C9</f>
        <v>2.95</v>
      </c>
      <c r="P15" s="330">
        <f>Сун!D9</f>
        <v>0.50636000000000003</v>
      </c>
      <c r="Q15" s="295">
        <f t="shared" ref="Q15:Q29" si="19">P15/O15*100</f>
        <v>17.164745762711863</v>
      </c>
      <c r="R15" s="295">
        <f>Сун!C10</f>
        <v>460.75</v>
      </c>
      <c r="S15" s="295">
        <f>Сун!D10</f>
        <v>109.01776</v>
      </c>
      <c r="T15" s="295">
        <f t="shared" ref="T15:T29" si="20">S15/R15*100</f>
        <v>23.66093543136191</v>
      </c>
      <c r="U15" s="295">
        <f>Сун!C11</f>
        <v>0</v>
      </c>
      <c r="V15" s="299">
        <f>Сун!D11</f>
        <v>-16.043839999999999</v>
      </c>
      <c r="W15" s="295" t="e">
        <f t="shared" ref="W15:W29" si="21">V15/U15*100</f>
        <v>#DIV/0!</v>
      </c>
      <c r="X15" s="310">
        <f>Сун!C13</f>
        <v>40</v>
      </c>
      <c r="Y15" s="310">
        <f>Сун!D13</f>
        <v>6.6672000000000002</v>
      </c>
      <c r="Z15" s="302">
        <f t="shared" ref="Z15:Z29" si="22">Y15/X15*100</f>
        <v>16.667999999999999</v>
      </c>
      <c r="AA15" s="310">
        <f>Сун!C15</f>
        <v>1120</v>
      </c>
      <c r="AB15" s="301">
        <f>Сун!D15</f>
        <v>14.641400000000001</v>
      </c>
      <c r="AC15" s="302">
        <f t="shared" ref="AC15:AC29" si="23">AB15/AA15*100</f>
        <v>1.3072678571428571</v>
      </c>
      <c r="AD15" s="310">
        <f>Сун!C16</f>
        <v>1241</v>
      </c>
      <c r="AE15" s="310">
        <f>Сун!D16</f>
        <v>135.68731</v>
      </c>
      <c r="AF15" s="302">
        <f t="shared" si="4"/>
        <v>10.933707493956486</v>
      </c>
      <c r="AG15" s="302">
        <f>Сун!C18</f>
        <v>10</v>
      </c>
      <c r="AH15" s="302">
        <f>Сун!D18</f>
        <v>1.7</v>
      </c>
      <c r="AI15" s="302">
        <f t="shared" ref="AI15:AI31" si="24">AH15/AG15*100</f>
        <v>17</v>
      </c>
      <c r="AJ15" s="302"/>
      <c r="AK15" s="302"/>
      <c r="AL15" s="302" t="e">
        <f t="shared" si="5"/>
        <v>#DIV/0!</v>
      </c>
      <c r="AM15" s="310">
        <f>Сун!C27</f>
        <v>0</v>
      </c>
      <c r="AN15" s="310">
        <f>Сун!D27</f>
        <v>0</v>
      </c>
      <c r="AO15" s="302" t="e">
        <f t="shared" si="6"/>
        <v>#DIV/0!</v>
      </c>
      <c r="AP15" s="310">
        <f>Сун!C28</f>
        <v>193.9</v>
      </c>
      <c r="AQ15" s="311">
        <f>Сун!D28</f>
        <v>0</v>
      </c>
      <c r="AR15" s="302">
        <f t="shared" ref="AR15:AR29" si="25">AQ15/AP15*100</f>
        <v>0</v>
      </c>
      <c r="AS15" s="304">
        <f>Сун!C29</f>
        <v>50</v>
      </c>
      <c r="AT15" s="311">
        <f>Сун!D29</f>
        <v>12.500999999999999</v>
      </c>
      <c r="AU15" s="302">
        <f t="shared" ref="AU15:AU29" si="26">AT15/AS15*100</f>
        <v>25.001999999999995</v>
      </c>
      <c r="AV15" s="310"/>
      <c r="AW15" s="310"/>
      <c r="AX15" s="302" t="e">
        <f t="shared" ref="AX15:AX29" si="27">AW15/AV15*100</f>
        <v>#DIV/0!</v>
      </c>
      <c r="AY15" s="302">
        <f>Сун!C31</f>
        <v>200</v>
      </c>
      <c r="AZ15" s="305">
        <f>Сун!D31</f>
        <v>26.27403</v>
      </c>
      <c r="BA15" s="302">
        <f t="shared" ref="BA15:BA31" si="28">AZ15/AY15*100</f>
        <v>13.137015</v>
      </c>
      <c r="BB15" s="302"/>
      <c r="BC15" s="302"/>
      <c r="BD15" s="302"/>
      <c r="BE15" s="302">
        <f>Сун!C32</f>
        <v>0</v>
      </c>
      <c r="BF15" s="302">
        <f>Сун!D32</f>
        <v>0</v>
      </c>
      <c r="BG15" s="302" t="e">
        <f t="shared" ref="BG15:BG31" si="29">BF15/BE15*100</f>
        <v>#DIV/0!</v>
      </c>
      <c r="BH15" s="302"/>
      <c r="BI15" s="302"/>
      <c r="BJ15" s="302" t="e">
        <f t="shared" ref="BJ15:BJ29" si="30">BI15/BH15*100</f>
        <v>#DIV/0!</v>
      </c>
      <c r="BK15" s="302">
        <f>Сун!C35</f>
        <v>0</v>
      </c>
      <c r="BL15" s="302">
        <f>Сун!D35</f>
        <v>2.3295599999999999</v>
      </c>
      <c r="BM15" s="302"/>
      <c r="BN15" s="302">
        <f>Сун!C35</f>
        <v>0</v>
      </c>
      <c r="BO15" s="302">
        <f>Сун!D35</f>
        <v>2.3295599999999999</v>
      </c>
      <c r="BP15" s="295" t="e">
        <f t="shared" ref="BP15:BP29" si="31">BO15/BN15*100</f>
        <v>#DIV/0!</v>
      </c>
      <c r="BQ15" s="302">
        <f>Сун!C37</f>
        <v>0</v>
      </c>
      <c r="BR15" s="476">
        <v>-2.52956</v>
      </c>
      <c r="BS15" s="302" t="e">
        <f t="shared" ref="BS15:BS29" si="32">BR15/BQ15*100</f>
        <v>#DIV/0!</v>
      </c>
      <c r="BT15" s="302"/>
      <c r="BU15" s="302"/>
      <c r="BV15" s="312" t="e">
        <f t="shared" ref="BV15:BV29" si="33">BT15/BU15*100</f>
        <v>#DIV/0!</v>
      </c>
      <c r="BW15" s="312"/>
      <c r="BX15" s="312"/>
      <c r="BY15" s="312" t="e">
        <f t="shared" ref="BY15:BY29" si="34">BW15/BX15*100</f>
        <v>#DIV/0!</v>
      </c>
      <c r="BZ15" s="300">
        <f t="shared" ref="BZ15:BZ29" si="35">CC15+CF15+CI15+CL15+CR15+CO15</f>
        <v>12776.21543</v>
      </c>
      <c r="CA15" s="300">
        <f t="shared" ref="CA15:CA29" si="36">CD15+CG15+CJ15+CM15+CS15+CP15+CV15</f>
        <v>1019.6849</v>
      </c>
      <c r="CB15" s="302">
        <f>CA15/BZ15*100</f>
        <v>7.9811185525696784</v>
      </c>
      <c r="CC15" s="302">
        <f>Сун!C42</f>
        <v>3283.9</v>
      </c>
      <c r="CD15" s="302">
        <f>Сун!D42</f>
        <v>820.96199999999999</v>
      </c>
      <c r="CE15" s="302">
        <f t="shared" ref="CE15:CE29" si="37">CD15/CC15*100</f>
        <v>24.999604129236577</v>
      </c>
      <c r="CF15" s="302">
        <f>Сун!C43</f>
        <v>0</v>
      </c>
      <c r="CG15" s="302">
        <f>Сун!D43</f>
        <v>0</v>
      </c>
      <c r="CH15" s="302" t="e">
        <f t="shared" ref="CH15:CH29" si="38">CG15/CF15*100</f>
        <v>#DIV/0!</v>
      </c>
      <c r="CI15" s="313">
        <f>Сун!C44</f>
        <v>2956.5</v>
      </c>
      <c r="CJ15" s="302">
        <f>Сун!D44</f>
        <v>153.923</v>
      </c>
      <c r="CK15" s="302">
        <f t="shared" si="7"/>
        <v>5.2062573989514629</v>
      </c>
      <c r="CL15" s="302">
        <f>Сун!C46</f>
        <v>186.65299999999999</v>
      </c>
      <c r="CM15" s="302">
        <f>Сун!D46</f>
        <v>44.799900000000001</v>
      </c>
      <c r="CN15" s="302">
        <f t="shared" si="8"/>
        <v>24.001703696163471</v>
      </c>
      <c r="CO15" s="302">
        <f>Сун!C47</f>
        <v>6349.1624300000003</v>
      </c>
      <c r="CP15" s="302">
        <f>Сун!D47</f>
        <v>0</v>
      </c>
      <c r="CQ15" s="295">
        <f t="shared" ref="CQ15:CQ29" si="39">CP15/CO15*100</f>
        <v>0</v>
      </c>
      <c r="CR15" s="314">
        <f>Сун!C48</f>
        <v>0</v>
      </c>
      <c r="CS15" s="302">
        <f>Сун!D48</f>
        <v>0</v>
      </c>
      <c r="CT15" s="302" t="e">
        <f t="shared" si="9"/>
        <v>#DIV/0!</v>
      </c>
      <c r="CU15" s="302"/>
      <c r="CV15" s="302"/>
      <c r="CW15" s="302"/>
      <c r="CX15" s="310"/>
      <c r="CY15" s="310"/>
      <c r="CZ15" s="302" t="e">
        <f t="shared" ref="CZ15:CZ29" si="40">CY15/CX15*100</f>
        <v>#DIV/0!</v>
      </c>
      <c r="DA15" s="302"/>
      <c r="DB15" s="302"/>
      <c r="DC15" s="302"/>
      <c r="DD15" s="302"/>
      <c r="DE15" s="302"/>
      <c r="DF15" s="302"/>
      <c r="DG15" s="304">
        <f>DJ15+DY15+EB15+EE15+EH15+EK15+EN15+EQ15+ET15</f>
        <v>17124.266490000002</v>
      </c>
      <c r="DH15" s="304">
        <f t="shared" ref="DG15:DH29" si="41">DK15+DZ15+EC15+EF15+EI15+EL15+EO15+ER15+EU15</f>
        <v>1716.3513200000002</v>
      </c>
      <c r="DI15" s="302">
        <f t="shared" ref="DI15:DI29" si="42">DH15/DG15*100</f>
        <v>10.022918768534069</v>
      </c>
      <c r="DJ15" s="310">
        <f>DM15+DP15+DS15+DV15</f>
        <v>1818.443</v>
      </c>
      <c r="DK15" s="310">
        <f t="shared" ref="DJ15:DK29" si="43">DN15+DQ15+DT15+DW15</f>
        <v>301.13576</v>
      </c>
      <c r="DL15" s="302">
        <f t="shared" ref="DL15:DL29" si="44">DK15/DJ15*100</f>
        <v>16.560087943366934</v>
      </c>
      <c r="DM15" s="302">
        <f>Сун!C59</f>
        <v>1754.6</v>
      </c>
      <c r="DN15" s="302">
        <f>Сун!D59</f>
        <v>301.13576</v>
      </c>
      <c r="DO15" s="302">
        <f t="shared" ref="DO15:DO29" si="45">DN15/DM15*100</f>
        <v>17.16264447737376</v>
      </c>
      <c r="DP15" s="302">
        <f>Сун!C62</f>
        <v>53</v>
      </c>
      <c r="DQ15" s="302">
        <f>Сун!D62</f>
        <v>0</v>
      </c>
      <c r="DR15" s="302">
        <f t="shared" ref="DR15:DR29" si="46">DQ15/DP15*100</f>
        <v>0</v>
      </c>
      <c r="DS15" s="302">
        <f>Сун!C63</f>
        <v>5</v>
      </c>
      <c r="DT15" s="302">
        <f>Сун!D63</f>
        <v>0</v>
      </c>
      <c r="DU15" s="302">
        <f t="shared" ref="DU15:DU29" si="47">DT15/DS15*100</f>
        <v>0</v>
      </c>
      <c r="DV15" s="302">
        <f>Сун!C64</f>
        <v>5.843</v>
      </c>
      <c r="DW15" s="302">
        <f>Сун!D64</f>
        <v>0</v>
      </c>
      <c r="DX15" s="302">
        <f t="shared" ref="DX15:DX29" si="48">DW15/DV15*100</f>
        <v>0</v>
      </c>
      <c r="DY15" s="302">
        <f>Сун!C66</f>
        <v>180.68299999999999</v>
      </c>
      <c r="DZ15" s="302">
        <f>Сун!D66</f>
        <v>35.58652</v>
      </c>
      <c r="EA15" s="302">
        <f t="shared" ref="EA15:EA31" si="49">DZ15/DY15*100</f>
        <v>19.695555198884236</v>
      </c>
      <c r="EB15" s="302">
        <f>Сун!C67</f>
        <v>8</v>
      </c>
      <c r="EC15" s="302">
        <f>Сун!D67</f>
        <v>0</v>
      </c>
      <c r="ED15" s="302">
        <f t="shared" ref="ED15:ED31" si="50">EC15/EB15*100</f>
        <v>0</v>
      </c>
      <c r="EE15" s="310">
        <f>Сун!C73</f>
        <v>4829.5670600000003</v>
      </c>
      <c r="EF15" s="310">
        <f>Сун!D73</f>
        <v>423.92175000000003</v>
      </c>
      <c r="EG15" s="302">
        <f t="shared" ref="EG15:EG29" si="51">EF15/EE15*100</f>
        <v>8.777634614726729</v>
      </c>
      <c r="EH15" s="310">
        <f>Сун!C78</f>
        <v>7021.6624300000003</v>
      </c>
      <c r="EI15" s="310">
        <f>Сун!D78</f>
        <v>111.38188</v>
      </c>
      <c r="EJ15" s="302">
        <f t="shared" ref="EJ15:EJ29" si="52">EI15/EH15*100</f>
        <v>1.5862608194338954</v>
      </c>
      <c r="EK15" s="310">
        <f>Сун!C83</f>
        <v>3243.5</v>
      </c>
      <c r="EL15" s="315">
        <f>Сун!D83</f>
        <v>835.74041</v>
      </c>
      <c r="EM15" s="302">
        <f t="shared" si="10"/>
        <v>25.766622784029597</v>
      </c>
      <c r="EN15" s="302">
        <f>Сун!C86</f>
        <v>0</v>
      </c>
      <c r="EO15" s="302">
        <f>Сун!D86</f>
        <v>0</v>
      </c>
      <c r="EP15" s="302" t="e">
        <f t="shared" si="11"/>
        <v>#DIV/0!</v>
      </c>
      <c r="EQ15" s="316">
        <f>Сун!C91</f>
        <v>22.411000000000001</v>
      </c>
      <c r="ER15" s="316">
        <f>Сун!D91</f>
        <v>8.5850000000000009</v>
      </c>
      <c r="ES15" s="302">
        <f t="shared" ref="ES15:ES29" si="53">ER15/EQ15*100</f>
        <v>38.307081343982865</v>
      </c>
      <c r="ET15" s="302">
        <f>Сун!C97</f>
        <v>0</v>
      </c>
      <c r="EU15" s="302">
        <f>Сун!D97</f>
        <v>0</v>
      </c>
      <c r="EV15" s="295" t="e">
        <f>EU15/ET15*100</f>
        <v>#DIV/0!</v>
      </c>
      <c r="EW15" s="309">
        <f t="shared" si="12"/>
        <v>-349.99106000000029</v>
      </c>
      <c r="EX15" s="309">
        <f t="shared" si="13"/>
        <v>-253.1510500000004</v>
      </c>
      <c r="EY15" s="295">
        <f>EX15/EW15*100%</f>
        <v>0.72330718961792961</v>
      </c>
      <c r="EZ15" s="164"/>
      <c r="FA15" s="165"/>
      <c r="FC15" s="165"/>
    </row>
    <row r="16" spans="1:159" s="162" customFormat="1" ht="25.5" customHeight="1">
      <c r="A16" s="338">
        <v>3</v>
      </c>
      <c r="B16" s="340" t="s">
        <v>291</v>
      </c>
      <c r="C16" s="317">
        <f t="shared" si="14"/>
        <v>20386.192940000001</v>
      </c>
      <c r="D16" s="294">
        <f t="shared" si="0"/>
        <v>1016.78529</v>
      </c>
      <c r="E16" s="302">
        <f t="shared" si="1"/>
        <v>4.9876173201763097</v>
      </c>
      <c r="F16" s="296">
        <f t="shared" si="15"/>
        <v>2263.79</v>
      </c>
      <c r="G16" s="296">
        <f t="shared" si="3"/>
        <v>391.44139000000007</v>
      </c>
      <c r="H16" s="302">
        <f t="shared" si="16"/>
        <v>17.291417931875312</v>
      </c>
      <c r="I16" s="318">
        <f>Иль!C6</f>
        <v>71.7</v>
      </c>
      <c r="J16" s="445">
        <f>Иль!D6</f>
        <v>16.251290000000001</v>
      </c>
      <c r="K16" s="302">
        <f t="shared" si="17"/>
        <v>22.665676429567643</v>
      </c>
      <c r="L16" s="302">
        <f>Иль!C8</f>
        <v>260.69</v>
      </c>
      <c r="M16" s="302">
        <f>Иль!D8</f>
        <v>73.40204</v>
      </c>
      <c r="N16" s="295">
        <f t="shared" si="18"/>
        <v>28.156829951283136</v>
      </c>
      <c r="O16" s="295">
        <f>Иль!C9</f>
        <v>2.79</v>
      </c>
      <c r="P16" s="330">
        <f>Иль!D9</f>
        <v>0.47850999999999999</v>
      </c>
      <c r="Q16" s="295">
        <f t="shared" si="19"/>
        <v>17.150896057347669</v>
      </c>
      <c r="R16" s="295">
        <f>Иль!C10</f>
        <v>435.41</v>
      </c>
      <c r="S16" s="295">
        <f>Иль!D10</f>
        <v>103.02366000000001</v>
      </c>
      <c r="T16" s="295">
        <f t="shared" si="20"/>
        <v>23.661298546197838</v>
      </c>
      <c r="U16" s="295">
        <f>Иль!C11</f>
        <v>0</v>
      </c>
      <c r="V16" s="299">
        <f>Иль!D11</f>
        <v>-15.1617</v>
      </c>
      <c r="W16" s="295" t="e">
        <f t="shared" si="21"/>
        <v>#DIV/0!</v>
      </c>
      <c r="X16" s="310">
        <f>Иль!C13</f>
        <v>10</v>
      </c>
      <c r="Y16" s="310">
        <f>Иль!D13</f>
        <v>0</v>
      </c>
      <c r="Z16" s="302">
        <f t="shared" si="22"/>
        <v>0</v>
      </c>
      <c r="AA16" s="310">
        <f>Иль!C15</f>
        <v>310</v>
      </c>
      <c r="AB16" s="301">
        <f>Иль!D15</f>
        <v>34.024850000000001</v>
      </c>
      <c r="AC16" s="302">
        <f t="shared" si="23"/>
        <v>10.97575806451613</v>
      </c>
      <c r="AD16" s="310">
        <f>Иль!C16</f>
        <v>750</v>
      </c>
      <c r="AE16" s="310">
        <f>Иль!D16</f>
        <v>61.583289999999998</v>
      </c>
      <c r="AF16" s="302">
        <f t="shared" si="4"/>
        <v>8.2111053333333341</v>
      </c>
      <c r="AG16" s="302">
        <f>Иль!C18</f>
        <v>4</v>
      </c>
      <c r="AH16" s="302">
        <f>Иль!D18</f>
        <v>0</v>
      </c>
      <c r="AI16" s="302">
        <f t="shared" si="24"/>
        <v>0</v>
      </c>
      <c r="AJ16" s="302"/>
      <c r="AK16" s="302"/>
      <c r="AL16" s="302" t="e">
        <f t="shared" si="5"/>
        <v>#DIV/0!</v>
      </c>
      <c r="AM16" s="310">
        <f>Иль!C27</f>
        <v>0</v>
      </c>
      <c r="AN16" s="310">
        <f>Иль!D27</f>
        <v>0</v>
      </c>
      <c r="AO16" s="302" t="e">
        <f t="shared" si="6"/>
        <v>#DIV/0!</v>
      </c>
      <c r="AP16" s="310">
        <f>Иль!C28</f>
        <v>328.6</v>
      </c>
      <c r="AQ16" s="311">
        <f>Иль!D28</f>
        <v>84.739000000000004</v>
      </c>
      <c r="AR16" s="302">
        <f t="shared" si="25"/>
        <v>25.787888009738285</v>
      </c>
      <c r="AS16" s="304">
        <f>Иль!C29</f>
        <v>30.6</v>
      </c>
      <c r="AT16" s="311">
        <f>Иль!D29</f>
        <v>18.690449999999998</v>
      </c>
      <c r="AU16" s="302">
        <f t="shared" si="26"/>
        <v>61.079901960784312</v>
      </c>
      <c r="AV16" s="310"/>
      <c r="AW16" s="310"/>
      <c r="AX16" s="302" t="e">
        <f t="shared" si="27"/>
        <v>#DIV/0!</v>
      </c>
      <c r="AY16" s="302">
        <f>Иль!C30</f>
        <v>60</v>
      </c>
      <c r="AZ16" s="305">
        <f>Иль!D30</f>
        <v>1.44</v>
      </c>
      <c r="BA16" s="302">
        <f t="shared" si="28"/>
        <v>2.4</v>
      </c>
      <c r="BB16" s="302"/>
      <c r="BC16" s="302"/>
      <c r="BD16" s="302"/>
      <c r="BE16" s="302">
        <f>Иль!C34</f>
        <v>0</v>
      </c>
      <c r="BF16" s="302">
        <f>Иль!D34</f>
        <v>0</v>
      </c>
      <c r="BG16" s="302" t="e">
        <f t="shared" si="29"/>
        <v>#DIV/0!</v>
      </c>
      <c r="BH16" s="302"/>
      <c r="BI16" s="302"/>
      <c r="BJ16" s="302" t="e">
        <f t="shared" si="30"/>
        <v>#DIV/0!</v>
      </c>
      <c r="BK16" s="302"/>
      <c r="BL16" s="302"/>
      <c r="BM16" s="302"/>
      <c r="BN16" s="302">
        <f>Иль!C35</f>
        <v>0</v>
      </c>
      <c r="BO16" s="302">
        <f>Иль!D35</f>
        <v>0</v>
      </c>
      <c r="BP16" s="295" t="e">
        <f t="shared" si="31"/>
        <v>#DIV/0!</v>
      </c>
      <c r="BQ16" s="302">
        <v>0</v>
      </c>
      <c r="BR16" s="476">
        <f>Иль!D38</f>
        <v>12.97</v>
      </c>
      <c r="BS16" s="302" t="e">
        <f t="shared" si="32"/>
        <v>#DIV/0!</v>
      </c>
      <c r="BT16" s="302"/>
      <c r="BU16" s="302"/>
      <c r="BV16" s="312" t="e">
        <f t="shared" si="33"/>
        <v>#DIV/0!</v>
      </c>
      <c r="BW16" s="312"/>
      <c r="BX16" s="312"/>
      <c r="BY16" s="312" t="e">
        <f t="shared" si="34"/>
        <v>#DIV/0!</v>
      </c>
      <c r="BZ16" s="300">
        <f>CC16+CF16+CI16+CL16+CR16+CO16</f>
        <v>18122.40294</v>
      </c>
      <c r="CA16" s="300">
        <f t="shared" si="36"/>
        <v>625.34389999999996</v>
      </c>
      <c r="CB16" s="302">
        <f>CA16/BZ16*100</f>
        <v>3.4506676739856217</v>
      </c>
      <c r="CC16" s="302">
        <f>Иль!C43</f>
        <v>1706.8</v>
      </c>
      <c r="CD16" s="302">
        <f>Иль!D43</f>
        <v>426.69299999999998</v>
      </c>
      <c r="CE16" s="302">
        <f t="shared" si="37"/>
        <v>24.999589875790953</v>
      </c>
      <c r="CF16" s="302">
        <f>Иль!C44</f>
        <v>670.5</v>
      </c>
      <c r="CG16" s="302">
        <f>Иль!D44</f>
        <v>0</v>
      </c>
      <c r="CH16" s="302">
        <f t="shared" si="38"/>
        <v>0</v>
      </c>
      <c r="CI16" s="295">
        <v>3432.2265499999999</v>
      </c>
      <c r="CJ16" s="302">
        <v>153.851</v>
      </c>
      <c r="CK16" s="302">
        <f t="shared" si="7"/>
        <v>4.4825420979276558</v>
      </c>
      <c r="CL16" s="302">
        <f>Иль!C47</f>
        <v>181.87299999999999</v>
      </c>
      <c r="CM16" s="302">
        <f>Иль!D47</f>
        <v>44.799900000000001</v>
      </c>
      <c r="CN16" s="302">
        <f t="shared" si="8"/>
        <v>24.632518295733838</v>
      </c>
      <c r="CO16" s="302">
        <f>Иль!C48</f>
        <v>11917.186110000001</v>
      </c>
      <c r="CP16" s="302">
        <f>Иль!D48</f>
        <v>0</v>
      </c>
      <c r="CQ16" s="295">
        <f t="shared" si="39"/>
        <v>0</v>
      </c>
      <c r="CR16" s="314">
        <v>213.81728000000001</v>
      </c>
      <c r="CS16" s="302">
        <f>Иль!D52</f>
        <v>0</v>
      </c>
      <c r="CT16" s="302">
        <f t="shared" si="9"/>
        <v>0</v>
      </c>
      <c r="CU16" s="302"/>
      <c r="CV16" s="302"/>
      <c r="CW16" s="302"/>
      <c r="CX16" s="310"/>
      <c r="CY16" s="310"/>
      <c r="CZ16" s="302" t="e">
        <f t="shared" si="40"/>
        <v>#DIV/0!</v>
      </c>
      <c r="DA16" s="302"/>
      <c r="DB16" s="302"/>
      <c r="DC16" s="302"/>
      <c r="DD16" s="302"/>
      <c r="DE16" s="302"/>
      <c r="DF16" s="302">
        <v>0</v>
      </c>
      <c r="DG16" s="304">
        <f t="shared" si="41"/>
        <v>20844.706129999999</v>
      </c>
      <c r="DH16" s="304">
        <f t="shared" si="41"/>
        <v>1063.91353</v>
      </c>
      <c r="DI16" s="302">
        <f t="shared" si="42"/>
        <v>5.1039987005084253</v>
      </c>
      <c r="DJ16" s="310">
        <f t="shared" si="43"/>
        <v>1373.5740000000001</v>
      </c>
      <c r="DK16" s="310">
        <f t="shared" si="43"/>
        <v>296.45096999999998</v>
      </c>
      <c r="DL16" s="302">
        <f t="shared" si="44"/>
        <v>21.582453511787495</v>
      </c>
      <c r="DM16" s="302">
        <f>Иль!C60</f>
        <v>1341.9</v>
      </c>
      <c r="DN16" s="302">
        <f>Иль!D60</f>
        <v>296.45096999999998</v>
      </c>
      <c r="DO16" s="302">
        <f t="shared" si="45"/>
        <v>22.091882405544375</v>
      </c>
      <c r="DP16" s="302">
        <f>Иль!C63</f>
        <v>23</v>
      </c>
      <c r="DQ16" s="302">
        <f>Иль!D63</f>
        <v>0</v>
      </c>
      <c r="DR16" s="302">
        <f t="shared" si="46"/>
        <v>0</v>
      </c>
      <c r="DS16" s="302">
        <f>Иль!C64</f>
        <v>5</v>
      </c>
      <c r="DT16" s="302">
        <f>Иль!D64</f>
        <v>0</v>
      </c>
      <c r="DU16" s="302">
        <f t="shared" si="47"/>
        <v>0</v>
      </c>
      <c r="DV16" s="302">
        <f>Иль!C65</f>
        <v>3.6739999999999999</v>
      </c>
      <c r="DW16" s="302">
        <f>Иль!D65</f>
        <v>0</v>
      </c>
      <c r="DX16" s="302">
        <f t="shared" si="48"/>
        <v>0</v>
      </c>
      <c r="DY16" s="302">
        <f>Иль!C67</f>
        <v>180.68299999999999</v>
      </c>
      <c r="DZ16" s="302">
        <f>Иль!D67</f>
        <v>35.58652</v>
      </c>
      <c r="EA16" s="302">
        <f t="shared" si="49"/>
        <v>19.695555198884236</v>
      </c>
      <c r="EB16" s="302">
        <f>Иль!C68</f>
        <v>6</v>
      </c>
      <c r="EC16" s="302">
        <f>Иль!D68</f>
        <v>0</v>
      </c>
      <c r="ED16" s="302">
        <f t="shared" si="50"/>
        <v>0</v>
      </c>
      <c r="EE16" s="310">
        <f>Иль!C74</f>
        <v>4073.77702</v>
      </c>
      <c r="EF16" s="310">
        <f>Иль!D74</f>
        <v>229.19499999999999</v>
      </c>
      <c r="EG16" s="302">
        <f t="shared" si="51"/>
        <v>5.6261056723227325</v>
      </c>
      <c r="EH16" s="310">
        <f>Иль!C81</f>
        <v>4175.9804000000004</v>
      </c>
      <c r="EI16" s="310">
        <f>Иль!D81</f>
        <v>77.107420000000005</v>
      </c>
      <c r="EJ16" s="302">
        <f t="shared" si="52"/>
        <v>1.8464507161001045</v>
      </c>
      <c r="EK16" s="310">
        <f>Иль!C85</f>
        <v>11032.691709999999</v>
      </c>
      <c r="EL16" s="315">
        <f>Иль!D85</f>
        <v>425.57362000000001</v>
      </c>
      <c r="EM16" s="302">
        <f t="shared" si="10"/>
        <v>3.8573870383259359</v>
      </c>
      <c r="EN16" s="302">
        <f>Иль!C87</f>
        <v>0</v>
      </c>
      <c r="EO16" s="302">
        <f>Иль!D87</f>
        <v>0</v>
      </c>
      <c r="EP16" s="302" t="e">
        <f t="shared" si="11"/>
        <v>#DIV/0!</v>
      </c>
      <c r="EQ16" s="316">
        <f>Иль!C92</f>
        <v>2</v>
      </c>
      <c r="ER16" s="316">
        <f>Иль!D92</f>
        <v>0</v>
      </c>
      <c r="ES16" s="302">
        <f t="shared" si="53"/>
        <v>0</v>
      </c>
      <c r="ET16" s="302">
        <f>Иль!C98</f>
        <v>0</v>
      </c>
      <c r="EU16" s="302">
        <f>Иль!D98</f>
        <v>0</v>
      </c>
      <c r="EV16" s="295" t="e">
        <f t="shared" ref="EV16:EV29" si="54">EU16/ET16*100</f>
        <v>#DIV/0!</v>
      </c>
      <c r="EW16" s="309">
        <f t="shared" si="12"/>
        <v>-458.51318999999785</v>
      </c>
      <c r="EX16" s="309">
        <f t="shared" si="13"/>
        <v>-47.128240000000005</v>
      </c>
      <c r="EY16" s="295">
        <f>EX16/EW16*100</f>
        <v>10.278491661275922</v>
      </c>
      <c r="EZ16" s="164"/>
      <c r="FA16" s="165"/>
      <c r="FC16" s="165"/>
    </row>
    <row r="17" spans="1:170" s="162" customFormat="1" ht="22.5" customHeight="1">
      <c r="A17" s="338">
        <v>4</v>
      </c>
      <c r="B17" s="340" t="s">
        <v>292</v>
      </c>
      <c r="C17" s="317">
        <f t="shared" si="14"/>
        <v>8466.8055800000002</v>
      </c>
      <c r="D17" s="294">
        <f t="shared" si="0"/>
        <v>1438.91499</v>
      </c>
      <c r="E17" s="302">
        <f t="shared" si="1"/>
        <v>16.994780102178748</v>
      </c>
      <c r="F17" s="296">
        <f t="shared" si="15"/>
        <v>4720.0625799999998</v>
      </c>
      <c r="G17" s="296">
        <f t="shared" si="3"/>
        <v>879.85009000000002</v>
      </c>
      <c r="H17" s="302">
        <f t="shared" si="16"/>
        <v>18.640644590775747</v>
      </c>
      <c r="I17" s="310">
        <f>Кад!C6</f>
        <v>484.2</v>
      </c>
      <c r="J17" s="446">
        <f>Кад!D6</f>
        <v>84.931830000000005</v>
      </c>
      <c r="K17" s="302">
        <f t="shared" si="17"/>
        <v>17.540650557620818</v>
      </c>
      <c r="L17" s="302">
        <f>Кад!C8</f>
        <v>310.93</v>
      </c>
      <c r="M17" s="302">
        <f>Кад!D8</f>
        <v>87.548590000000004</v>
      </c>
      <c r="N17" s="295">
        <f t="shared" si="18"/>
        <v>28.157009616312358</v>
      </c>
      <c r="O17" s="295">
        <f>Кад!C9</f>
        <v>3.33</v>
      </c>
      <c r="P17" s="330">
        <f>Кад!D9</f>
        <v>0.57072999999999996</v>
      </c>
      <c r="Q17" s="295">
        <f t="shared" si="19"/>
        <v>17.139039039039037</v>
      </c>
      <c r="R17" s="295">
        <f>Кад!C10</f>
        <v>519.33000000000004</v>
      </c>
      <c r="S17" s="295">
        <f>Кад!D10</f>
        <v>122.87912</v>
      </c>
      <c r="T17" s="295">
        <f t="shared" si="20"/>
        <v>23.661086399784338</v>
      </c>
      <c r="U17" s="295">
        <f>Кад!C11</f>
        <v>0</v>
      </c>
      <c r="V17" s="299">
        <f>Кад!D11</f>
        <v>-18.083770000000001</v>
      </c>
      <c r="W17" s="295" t="e">
        <f t="shared" si="21"/>
        <v>#DIV/0!</v>
      </c>
      <c r="X17" s="310">
        <f>Кад!C13</f>
        <v>60</v>
      </c>
      <c r="Y17" s="310">
        <f>Кад!D13</f>
        <v>12.3927</v>
      </c>
      <c r="Z17" s="302">
        <f t="shared" si="22"/>
        <v>20.654500000000002</v>
      </c>
      <c r="AA17" s="310">
        <f>Кад!C15</f>
        <v>340</v>
      </c>
      <c r="AB17" s="301">
        <f>Кад!D15</f>
        <v>18.861940000000001</v>
      </c>
      <c r="AC17" s="302">
        <f t="shared" si="23"/>
        <v>5.5476294117647065</v>
      </c>
      <c r="AD17" s="310">
        <f>Кад!C16</f>
        <v>2784.7725799999998</v>
      </c>
      <c r="AE17" s="310">
        <f>Кад!D16</f>
        <v>484.46793000000002</v>
      </c>
      <c r="AF17" s="302">
        <f t="shared" si="4"/>
        <v>17.397037498839492</v>
      </c>
      <c r="AG17" s="302">
        <f>Кад!C18</f>
        <v>20</v>
      </c>
      <c r="AH17" s="302">
        <f>Кад!D18</f>
        <v>2.8</v>
      </c>
      <c r="AI17" s="302">
        <f t="shared" si="24"/>
        <v>13.999999999999998</v>
      </c>
      <c r="AJ17" s="302"/>
      <c r="AK17" s="302"/>
      <c r="AL17" s="302" t="e">
        <f t="shared" si="5"/>
        <v>#DIV/0!</v>
      </c>
      <c r="AM17" s="310">
        <v>0</v>
      </c>
      <c r="AN17" s="310">
        <v>0</v>
      </c>
      <c r="AO17" s="302" t="e">
        <f t="shared" si="6"/>
        <v>#DIV/0!</v>
      </c>
      <c r="AP17" s="310">
        <f>Кад!C27</f>
        <v>115.5</v>
      </c>
      <c r="AQ17" s="311">
        <f>Кад!D27</f>
        <v>62.654000000000003</v>
      </c>
      <c r="AR17" s="302">
        <f t="shared" si="25"/>
        <v>54.245887445887455</v>
      </c>
      <c r="AS17" s="304">
        <f>Кад!C28</f>
        <v>12</v>
      </c>
      <c r="AT17" s="311">
        <f>Кад!D28</f>
        <v>3</v>
      </c>
      <c r="AU17" s="302">
        <f t="shared" si="26"/>
        <v>25</v>
      </c>
      <c r="AV17" s="310"/>
      <c r="AW17" s="310"/>
      <c r="AX17" s="302" t="e">
        <f t="shared" si="27"/>
        <v>#DIV/0!</v>
      </c>
      <c r="AY17" s="302">
        <f>Кад!C30</f>
        <v>70</v>
      </c>
      <c r="AZ17" s="305">
        <f>Кад!D30</f>
        <v>17.827020000000001</v>
      </c>
      <c r="BA17" s="302">
        <f t="shared" si="28"/>
        <v>25.467171428571429</v>
      </c>
      <c r="BB17" s="302"/>
      <c r="BC17" s="302"/>
      <c r="BD17" s="302"/>
      <c r="BE17" s="302">
        <f>Кад!C33</f>
        <v>0</v>
      </c>
      <c r="BF17" s="302">
        <f>Кад!D33</f>
        <v>0</v>
      </c>
      <c r="BG17" s="302" t="e">
        <f t="shared" si="29"/>
        <v>#DIV/0!</v>
      </c>
      <c r="BH17" s="302"/>
      <c r="BI17" s="302"/>
      <c r="BJ17" s="302" t="e">
        <f t="shared" si="30"/>
        <v>#DIV/0!</v>
      </c>
      <c r="BK17" s="302"/>
      <c r="BL17" s="302"/>
      <c r="BM17" s="302"/>
      <c r="BN17" s="302">
        <f>Кад!C34</f>
        <v>0</v>
      </c>
      <c r="BO17" s="302">
        <f>Кад!D34</f>
        <v>0</v>
      </c>
      <c r="BP17" s="295" t="e">
        <f t="shared" si="31"/>
        <v>#DIV/0!</v>
      </c>
      <c r="BQ17" s="302">
        <f>Кад!C36</f>
        <v>0</v>
      </c>
      <c r="BR17" s="476">
        <f>Кад!D36</f>
        <v>0</v>
      </c>
      <c r="BS17" s="302" t="e">
        <f t="shared" si="32"/>
        <v>#DIV/0!</v>
      </c>
      <c r="BT17" s="302"/>
      <c r="BU17" s="302"/>
      <c r="BV17" s="312" t="e">
        <f t="shared" si="33"/>
        <v>#DIV/0!</v>
      </c>
      <c r="BW17" s="312"/>
      <c r="BX17" s="312"/>
      <c r="BY17" s="312" t="e">
        <f t="shared" si="34"/>
        <v>#DIV/0!</v>
      </c>
      <c r="BZ17" s="300">
        <f t="shared" si="35"/>
        <v>3746.7429999999995</v>
      </c>
      <c r="CA17" s="300">
        <f>CD17+CG17+CJ17+CM17+CS17+CP17+CV17</f>
        <v>559.06489999999997</v>
      </c>
      <c r="CB17" s="302">
        <f>CA17/BZ17*100</f>
        <v>14.921357029291842</v>
      </c>
      <c r="CC17" s="302">
        <f>Кад!C41</f>
        <v>1196.5999999999999</v>
      </c>
      <c r="CD17" s="302">
        <f>Кад!D41</f>
        <v>299.14499999999998</v>
      </c>
      <c r="CE17" s="302">
        <f t="shared" si="37"/>
        <v>24.999582149423365</v>
      </c>
      <c r="CF17" s="302">
        <f>Кад!C42</f>
        <v>0</v>
      </c>
      <c r="CG17" s="302">
        <f>Кад!D42</f>
        <v>0</v>
      </c>
      <c r="CH17" s="302" t="e">
        <f t="shared" si="38"/>
        <v>#DIV/0!</v>
      </c>
      <c r="CI17" s="295">
        <f>Кад!C43</f>
        <v>2139.08</v>
      </c>
      <c r="CJ17" s="302">
        <f>Кад!D43</f>
        <v>215.12</v>
      </c>
      <c r="CK17" s="302">
        <f t="shared" si="7"/>
        <v>10.056659872468538</v>
      </c>
      <c r="CL17" s="302">
        <f>Кад!C45</f>
        <v>184.863</v>
      </c>
      <c r="CM17" s="302">
        <f>Кад!D45</f>
        <v>44.799900000000001</v>
      </c>
      <c r="CN17" s="302">
        <f t="shared" si="8"/>
        <v>24.234108501971733</v>
      </c>
      <c r="CO17" s="302">
        <f>Кад!C46</f>
        <v>226.2</v>
      </c>
      <c r="CP17" s="302">
        <f>Кад!D46</f>
        <v>0</v>
      </c>
      <c r="CQ17" s="295">
        <f t="shared" si="39"/>
        <v>0</v>
      </c>
      <c r="CR17" s="314">
        <f>Кад!C47</f>
        <v>0</v>
      </c>
      <c r="CS17" s="302">
        <f>Кад!D47</f>
        <v>0</v>
      </c>
      <c r="CT17" s="302" t="e">
        <f t="shared" si="9"/>
        <v>#DIV/0!</v>
      </c>
      <c r="CU17" s="302"/>
      <c r="CV17" s="302"/>
      <c r="CW17" s="302"/>
      <c r="CX17" s="310"/>
      <c r="CY17" s="310"/>
      <c r="CZ17" s="302" t="e">
        <f t="shared" si="40"/>
        <v>#DIV/0!</v>
      </c>
      <c r="DA17" s="302"/>
      <c r="DB17" s="302"/>
      <c r="DC17" s="302"/>
      <c r="DD17" s="302"/>
      <c r="DE17" s="302"/>
      <c r="DF17" s="302"/>
      <c r="DG17" s="304">
        <f t="shared" si="41"/>
        <v>8851.5757000000012</v>
      </c>
      <c r="DH17" s="304">
        <f t="shared" si="41"/>
        <v>1264.38897</v>
      </c>
      <c r="DI17" s="302">
        <f t="shared" si="42"/>
        <v>14.284337759208226</v>
      </c>
      <c r="DJ17" s="310">
        <f t="shared" si="43"/>
        <v>1690.934</v>
      </c>
      <c r="DK17" s="310">
        <f t="shared" si="43"/>
        <v>287.30646999999999</v>
      </c>
      <c r="DL17" s="302">
        <f t="shared" si="44"/>
        <v>16.990992552045199</v>
      </c>
      <c r="DM17" s="302">
        <f>Кад!C57</f>
        <v>1637</v>
      </c>
      <c r="DN17" s="302">
        <f>Кад!D57</f>
        <v>287.30646999999999</v>
      </c>
      <c r="DO17" s="302">
        <f t="shared" si="45"/>
        <v>17.55079230299328</v>
      </c>
      <c r="DP17" s="302">
        <f>Кад!C60</f>
        <v>44</v>
      </c>
      <c r="DQ17" s="302">
        <f>Кад!D60</f>
        <v>0</v>
      </c>
      <c r="DR17" s="302">
        <f t="shared" si="46"/>
        <v>0</v>
      </c>
      <c r="DS17" s="302">
        <f>Кад!C61</f>
        <v>5</v>
      </c>
      <c r="DT17" s="302">
        <f>Кад!D61</f>
        <v>0</v>
      </c>
      <c r="DU17" s="302">
        <f t="shared" si="47"/>
        <v>0</v>
      </c>
      <c r="DV17" s="302">
        <f>Кад!C62</f>
        <v>4.9340000000000002</v>
      </c>
      <c r="DW17" s="302">
        <f>Кад!D62</f>
        <v>0</v>
      </c>
      <c r="DX17" s="302">
        <f t="shared" si="48"/>
        <v>0</v>
      </c>
      <c r="DY17" s="302">
        <f>Кад!C64</f>
        <v>180.68299999999999</v>
      </c>
      <c r="DZ17" s="302">
        <f>Кад!D64</f>
        <v>28.936720000000001</v>
      </c>
      <c r="EA17" s="302">
        <f t="shared" si="49"/>
        <v>16.015186818903825</v>
      </c>
      <c r="EB17" s="302">
        <f>Кад!C65</f>
        <v>6</v>
      </c>
      <c r="EC17" s="302">
        <f>Кад!D65</f>
        <v>0.6</v>
      </c>
      <c r="ED17" s="302">
        <f t="shared" si="50"/>
        <v>10</v>
      </c>
      <c r="EE17" s="310">
        <f>Кад!C71</f>
        <v>2812.1273000000001</v>
      </c>
      <c r="EF17" s="310">
        <f>Кад!D71</f>
        <v>342.32150000000001</v>
      </c>
      <c r="EG17" s="302">
        <f t="shared" si="51"/>
        <v>12.173044228829896</v>
      </c>
      <c r="EH17" s="310">
        <f>Кад!C76</f>
        <v>2184.6314000000002</v>
      </c>
      <c r="EI17" s="310">
        <f>Кад!D76</f>
        <v>155.22427999999999</v>
      </c>
      <c r="EJ17" s="302">
        <f t="shared" si="52"/>
        <v>7.1052846718215239</v>
      </c>
      <c r="EK17" s="310">
        <f>Кад!C80</f>
        <v>1975.2</v>
      </c>
      <c r="EL17" s="315">
        <f>Кад!D80</f>
        <v>450</v>
      </c>
      <c r="EM17" s="302">
        <f t="shared" si="10"/>
        <v>22.78250303766707</v>
      </c>
      <c r="EN17" s="302">
        <f>Кад!C82</f>
        <v>0</v>
      </c>
      <c r="EO17" s="302">
        <f>Кад!D82</f>
        <v>0</v>
      </c>
      <c r="EP17" s="302" t="e">
        <f t="shared" si="11"/>
        <v>#DIV/0!</v>
      </c>
      <c r="EQ17" s="316">
        <f>Кад!C87</f>
        <v>2</v>
      </c>
      <c r="ER17" s="316">
        <f>Кад!D87</f>
        <v>0</v>
      </c>
      <c r="ES17" s="302">
        <f t="shared" si="53"/>
        <v>0</v>
      </c>
      <c r="ET17" s="302">
        <f>Кад!C93</f>
        <v>0</v>
      </c>
      <c r="EU17" s="302">
        <f>Кад!D93</f>
        <v>0</v>
      </c>
      <c r="EV17" s="295" t="e">
        <f t="shared" si="54"/>
        <v>#DIV/0!</v>
      </c>
      <c r="EW17" s="309">
        <f t="shared" si="12"/>
        <v>-384.77012000000104</v>
      </c>
      <c r="EX17" s="309">
        <f t="shared" si="13"/>
        <v>174.52602000000002</v>
      </c>
      <c r="EY17" s="295">
        <f>EX17/EW17*100</f>
        <v>-45.358516924339014</v>
      </c>
      <c r="EZ17" s="164"/>
      <c r="FA17" s="165"/>
      <c r="FC17" s="165"/>
    </row>
    <row r="18" spans="1:170" s="174" customFormat="1" ht="20.25" customHeight="1">
      <c r="A18" s="341">
        <v>5</v>
      </c>
      <c r="B18" s="342" t="s">
        <v>293</v>
      </c>
      <c r="C18" s="319">
        <f t="shared" si="14"/>
        <v>26163.432049999996</v>
      </c>
      <c r="D18" s="320">
        <f t="shared" si="0"/>
        <v>2703.5000700000001</v>
      </c>
      <c r="E18" s="305">
        <f t="shared" si="1"/>
        <v>10.333124740031959</v>
      </c>
      <c r="F18" s="296">
        <f t="shared" si="15"/>
        <v>4882.71</v>
      </c>
      <c r="G18" s="321">
        <f t="shared" si="3"/>
        <v>839.34459000000004</v>
      </c>
      <c r="H18" s="305">
        <f t="shared" si="16"/>
        <v>17.190138058578128</v>
      </c>
      <c r="I18" s="298">
        <f>Мор!C6</f>
        <v>1917</v>
      </c>
      <c r="J18" s="445">
        <f>Мор!D6</f>
        <v>355.84316999999999</v>
      </c>
      <c r="K18" s="305">
        <f t="shared" si="17"/>
        <v>18.562502347417841</v>
      </c>
      <c r="L18" s="305">
        <f>Мор!C8</f>
        <v>153.57</v>
      </c>
      <c r="M18" s="305">
        <f>Мор!D8</f>
        <v>43.240470000000002</v>
      </c>
      <c r="N18" s="305">
        <f t="shared" si="18"/>
        <v>28.156847040437587</v>
      </c>
      <c r="O18" s="305">
        <f>Мор!C9</f>
        <v>1.64</v>
      </c>
      <c r="P18" s="455">
        <f>Мор!D9</f>
        <v>0.28188999999999997</v>
      </c>
      <c r="Q18" s="305">
        <f t="shared" si="19"/>
        <v>17.188414634146341</v>
      </c>
      <c r="R18" s="305">
        <f>Мор!C10</f>
        <v>256.5</v>
      </c>
      <c r="S18" s="305">
        <f>Мор!D10</f>
        <v>60.690300000000001</v>
      </c>
      <c r="T18" s="305">
        <f t="shared" si="20"/>
        <v>23.660935672514622</v>
      </c>
      <c r="U18" s="305">
        <f>Мор!C11</f>
        <v>0</v>
      </c>
      <c r="V18" s="322">
        <f>Мор!D11</f>
        <v>-8.9316200000000006</v>
      </c>
      <c r="W18" s="305" t="e">
        <f t="shared" si="21"/>
        <v>#DIV/0!</v>
      </c>
      <c r="X18" s="304">
        <f>Мор!C13</f>
        <v>75</v>
      </c>
      <c r="Y18" s="304">
        <f>Мор!D13</f>
        <v>24.723649999999999</v>
      </c>
      <c r="Z18" s="305">
        <f t="shared" si="22"/>
        <v>32.964866666666666</v>
      </c>
      <c r="AA18" s="304">
        <f>Мор!C15</f>
        <v>980</v>
      </c>
      <c r="AB18" s="301">
        <f>Мор!D15</f>
        <v>70.975279999999998</v>
      </c>
      <c r="AC18" s="305">
        <f t="shared" si="23"/>
        <v>7.2423755102040817</v>
      </c>
      <c r="AD18" s="304">
        <f>Мор!C16</f>
        <v>1499</v>
      </c>
      <c r="AE18" s="304">
        <f>Мор!D16</f>
        <v>292.52145000000002</v>
      </c>
      <c r="AF18" s="305">
        <f t="shared" si="4"/>
        <v>19.514439626417612</v>
      </c>
      <c r="AG18" s="305">
        <f>Мор!C18</f>
        <v>0</v>
      </c>
      <c r="AH18" s="305">
        <f>Мор!D18</f>
        <v>0</v>
      </c>
      <c r="AI18" s="305" t="e">
        <f t="shared" si="24"/>
        <v>#DIV/0!</v>
      </c>
      <c r="AJ18" s="305">
        <f>Мор!C22</f>
        <v>0</v>
      </c>
      <c r="AK18" s="305">
        <f>Мор!D22</f>
        <v>0</v>
      </c>
      <c r="AL18" s="305" t="e">
        <f t="shared" si="5"/>
        <v>#DIV/0!</v>
      </c>
      <c r="AM18" s="304">
        <v>0</v>
      </c>
      <c r="AN18" s="304"/>
      <c r="AO18" s="305" t="e">
        <f t="shared" si="6"/>
        <v>#DIV/0!</v>
      </c>
      <c r="AP18" s="304">
        <f>Мор!C27</f>
        <v>0</v>
      </c>
      <c r="AQ18" s="311">
        <f>Мор!D27</f>
        <v>0</v>
      </c>
      <c r="AR18" s="305" t="e">
        <f t="shared" si="25"/>
        <v>#DIV/0!</v>
      </c>
      <c r="AS18" s="304">
        <f>Мор!C28</f>
        <v>0</v>
      </c>
      <c r="AT18" s="301">
        <f>Мор!D28</f>
        <v>0</v>
      </c>
      <c r="AU18" s="305" t="e">
        <f t="shared" si="26"/>
        <v>#DIV/0!</v>
      </c>
      <c r="AV18" s="304"/>
      <c r="AW18" s="304"/>
      <c r="AX18" s="305" t="e">
        <f t="shared" si="27"/>
        <v>#DIV/0!</v>
      </c>
      <c r="AY18" s="305">
        <f>Мор!C29</f>
        <v>0</v>
      </c>
      <c r="AZ18" s="305">
        <f>Мор!D29</f>
        <v>0</v>
      </c>
      <c r="BA18" s="305" t="e">
        <f t="shared" si="28"/>
        <v>#DIV/0!</v>
      </c>
      <c r="BB18" s="305"/>
      <c r="BC18" s="305"/>
      <c r="BD18" s="305"/>
      <c r="BE18" s="305">
        <f>Мор!C33</f>
        <v>0</v>
      </c>
      <c r="BF18" s="305">
        <f>Мор!D33</f>
        <v>0</v>
      </c>
      <c r="BG18" s="305" t="e">
        <f>Мор!E33</f>
        <v>#DIV/0!</v>
      </c>
      <c r="BH18" s="305">
        <f>Мор!F33</f>
        <v>0</v>
      </c>
      <c r="BI18" s="305">
        <f>Мор!G33</f>
        <v>0</v>
      </c>
      <c r="BJ18" s="305">
        <f>Мор!H33</f>
        <v>0</v>
      </c>
      <c r="BK18" s="305">
        <f>Мор!I33</f>
        <v>0</v>
      </c>
      <c r="BL18" s="305">
        <f>Мор!J33</f>
        <v>0</v>
      </c>
      <c r="BM18" s="305">
        <f>Мор!K33</f>
        <v>0</v>
      </c>
      <c r="BN18" s="305">
        <f>Мор!C34</f>
        <v>0</v>
      </c>
      <c r="BO18" s="305">
        <f>Мор!D34</f>
        <v>0</v>
      </c>
      <c r="BP18" s="295" t="e">
        <f t="shared" si="31"/>
        <v>#DIV/0!</v>
      </c>
      <c r="BQ18" s="305">
        <f>Мор!C36</f>
        <v>0</v>
      </c>
      <c r="BR18" s="477">
        <f>Мор!D36</f>
        <v>0</v>
      </c>
      <c r="BS18" s="305" t="e">
        <f t="shared" si="32"/>
        <v>#DIV/0!</v>
      </c>
      <c r="BT18" s="305"/>
      <c r="BU18" s="305"/>
      <c r="BV18" s="323" t="e">
        <f t="shared" si="33"/>
        <v>#DIV/0!</v>
      </c>
      <c r="BW18" s="323"/>
      <c r="BX18" s="323"/>
      <c r="BY18" s="323" t="e">
        <f t="shared" si="34"/>
        <v>#DIV/0!</v>
      </c>
      <c r="BZ18" s="304">
        <f t="shared" si="35"/>
        <v>21280.722049999997</v>
      </c>
      <c r="CA18" s="300">
        <f t="shared" si="36"/>
        <v>1864.1554800000001</v>
      </c>
      <c r="CB18" s="305">
        <f t="shared" ref="CB18:CB31" si="55">CA18/BZ18*100</f>
        <v>8.7598319061735062</v>
      </c>
      <c r="CC18" s="305">
        <f>Мор!C41</f>
        <v>5155.8</v>
      </c>
      <c r="CD18" s="305">
        <f>Мор!D41</f>
        <v>1288.9290000000001</v>
      </c>
      <c r="CE18" s="305">
        <f t="shared" si="37"/>
        <v>24.999592691725823</v>
      </c>
      <c r="CF18" s="305">
        <f>Мор!C42</f>
        <v>0</v>
      </c>
      <c r="CG18" s="305">
        <f>Мор!D42</f>
        <v>0</v>
      </c>
      <c r="CH18" s="305" t="e">
        <f t="shared" si="38"/>
        <v>#DIV/0!</v>
      </c>
      <c r="CI18" s="305">
        <f>Мор!C43</f>
        <v>9700.1703999999991</v>
      </c>
      <c r="CJ18" s="305">
        <f>Мор!D43</f>
        <v>101.285</v>
      </c>
      <c r="CK18" s="305">
        <f t="shared" si="7"/>
        <v>1.0441569150166683</v>
      </c>
      <c r="CL18" s="305">
        <f>Мор!C45</f>
        <v>11.71</v>
      </c>
      <c r="CM18" s="305">
        <f>Мор!D45</f>
        <v>0</v>
      </c>
      <c r="CN18" s="305">
        <f t="shared" si="8"/>
        <v>0</v>
      </c>
      <c r="CO18" s="305">
        <f>Мор!C46</f>
        <v>5940</v>
      </c>
      <c r="CP18" s="305">
        <f>Мор!D46</f>
        <v>0</v>
      </c>
      <c r="CQ18" s="295">
        <f t="shared" si="39"/>
        <v>0</v>
      </c>
      <c r="CR18" s="322">
        <f>Мор!C48</f>
        <v>473.04165</v>
      </c>
      <c r="CS18" s="305">
        <f>Мор!D48</f>
        <v>473.94148000000001</v>
      </c>
      <c r="CT18" s="305">
        <f t="shared" si="9"/>
        <v>100.1902221506288</v>
      </c>
      <c r="CU18" s="305"/>
      <c r="CV18" s="305"/>
      <c r="CW18" s="305"/>
      <c r="CX18" s="304"/>
      <c r="CY18" s="304"/>
      <c r="CZ18" s="305" t="e">
        <f t="shared" si="40"/>
        <v>#DIV/0!</v>
      </c>
      <c r="DA18" s="305"/>
      <c r="DB18" s="305"/>
      <c r="DC18" s="305"/>
      <c r="DD18" s="305"/>
      <c r="DE18" s="305"/>
      <c r="DF18" s="305"/>
      <c r="DG18" s="304">
        <f t="shared" si="41"/>
        <v>26275.790590000001</v>
      </c>
      <c r="DH18" s="304">
        <f t="shared" si="41"/>
        <v>2309.03271</v>
      </c>
      <c r="DI18" s="305">
        <f t="shared" si="42"/>
        <v>8.7876812006515532</v>
      </c>
      <c r="DJ18" s="304">
        <f t="shared" si="43"/>
        <v>2106.0649999999996</v>
      </c>
      <c r="DK18" s="304">
        <f t="shared" si="43"/>
        <v>467.55862999999999</v>
      </c>
      <c r="DL18" s="305">
        <f t="shared" si="44"/>
        <v>22.200579279366973</v>
      </c>
      <c r="DM18" s="305">
        <f>Мор!C58</f>
        <v>1909.2</v>
      </c>
      <c r="DN18" s="305">
        <f>Мор!D58</f>
        <v>460.55862999999999</v>
      </c>
      <c r="DO18" s="305">
        <f t="shared" si="45"/>
        <v>24.123121202597947</v>
      </c>
      <c r="DP18" s="305">
        <f>Мор!C61</f>
        <v>90</v>
      </c>
      <c r="DQ18" s="305">
        <f>Мор!D61</f>
        <v>0</v>
      </c>
      <c r="DR18" s="305">
        <f t="shared" si="46"/>
        <v>0</v>
      </c>
      <c r="DS18" s="305">
        <f>Мор!C62</f>
        <v>55</v>
      </c>
      <c r="DT18" s="305">
        <f>Мор!D62</f>
        <v>0</v>
      </c>
      <c r="DU18" s="305">
        <f t="shared" si="47"/>
        <v>0</v>
      </c>
      <c r="DV18" s="305">
        <f>Мор!C63</f>
        <v>51.865000000000002</v>
      </c>
      <c r="DW18" s="305">
        <f>Мор!D63</f>
        <v>7</v>
      </c>
      <c r="DX18" s="305">
        <f t="shared" si="48"/>
        <v>13.49657765352357</v>
      </c>
      <c r="DY18" s="305">
        <f>Мор!C64</f>
        <v>0</v>
      </c>
      <c r="DZ18" s="305">
        <f>Мор!D64</f>
        <v>0</v>
      </c>
      <c r="EA18" s="305" t="e">
        <f t="shared" si="49"/>
        <v>#DIV/0!</v>
      </c>
      <c r="EB18" s="305">
        <f>Мор!C66</f>
        <v>112</v>
      </c>
      <c r="EC18" s="305">
        <f>Мор!D66</f>
        <v>0</v>
      </c>
      <c r="ED18" s="305">
        <f t="shared" si="50"/>
        <v>0</v>
      </c>
      <c r="EE18" s="304">
        <f>Мор!C72</f>
        <v>3283.36319</v>
      </c>
      <c r="EF18" s="304">
        <f>Мор!D72</f>
        <v>384.57019000000003</v>
      </c>
      <c r="EG18" s="305">
        <f t="shared" si="51"/>
        <v>11.712691156776964</v>
      </c>
      <c r="EH18" s="304">
        <f>Мор!C77</f>
        <v>16292.5494</v>
      </c>
      <c r="EI18" s="304">
        <f>Мор!D77</f>
        <v>342.60489000000001</v>
      </c>
      <c r="EJ18" s="305">
        <f t="shared" si="52"/>
        <v>2.1028316783866865</v>
      </c>
      <c r="EK18" s="304">
        <f>Мор!C81</f>
        <v>4457.2</v>
      </c>
      <c r="EL18" s="324">
        <f>Мор!D81</f>
        <v>1114.299</v>
      </c>
      <c r="EM18" s="305">
        <f t="shared" si="10"/>
        <v>24.9999775643902</v>
      </c>
      <c r="EN18" s="305">
        <f>Мор!C84</f>
        <v>0</v>
      </c>
      <c r="EO18" s="305">
        <f>Мор!D84</f>
        <v>0</v>
      </c>
      <c r="EP18" s="305" t="e">
        <f t="shared" si="11"/>
        <v>#DIV/0!</v>
      </c>
      <c r="EQ18" s="321">
        <f>Мор!C89</f>
        <v>24.613</v>
      </c>
      <c r="ER18" s="321">
        <f>Мор!D89</f>
        <v>0</v>
      </c>
      <c r="ES18" s="305">
        <f t="shared" si="53"/>
        <v>0</v>
      </c>
      <c r="ET18" s="305">
        <f>Мор!C95</f>
        <v>0</v>
      </c>
      <c r="EU18" s="305">
        <f>Мор!D95</f>
        <v>0</v>
      </c>
      <c r="EV18" s="305" t="e">
        <f t="shared" si="54"/>
        <v>#DIV/0!</v>
      </c>
      <c r="EW18" s="325">
        <f t="shared" si="12"/>
        <v>-112.35854000000472</v>
      </c>
      <c r="EX18" s="325">
        <f t="shared" si="13"/>
        <v>394.4673600000001</v>
      </c>
      <c r="EY18" s="305">
        <f t="shared" ref="EY18:EY30" si="56">EX18/EW18*100</f>
        <v>-351.07910800548274</v>
      </c>
      <c r="EZ18" s="172"/>
      <c r="FA18" s="173"/>
      <c r="FC18" s="173"/>
    </row>
    <row r="19" spans="1:170" s="253" customFormat="1" ht="27.75" customHeight="1">
      <c r="A19" s="343">
        <v>6</v>
      </c>
      <c r="B19" s="340" t="s">
        <v>294</v>
      </c>
      <c r="C19" s="317">
        <f t="shared" si="14"/>
        <v>14486.9879</v>
      </c>
      <c r="D19" s="294">
        <f t="shared" si="0"/>
        <v>1835.3905900000002</v>
      </c>
      <c r="E19" s="302">
        <f t="shared" si="1"/>
        <v>12.669235334972567</v>
      </c>
      <c r="F19" s="296">
        <f t="shared" si="15"/>
        <v>5018.6900000000005</v>
      </c>
      <c r="G19" s="316">
        <f t="shared" si="3"/>
        <v>1106.6196900000002</v>
      </c>
      <c r="H19" s="302">
        <f t="shared" si="16"/>
        <v>22.049971008370711</v>
      </c>
      <c r="I19" s="310">
        <f>Мос!C6</f>
        <v>1607.1</v>
      </c>
      <c r="J19" s="446">
        <f>Мос!D6</f>
        <v>436.77958000000001</v>
      </c>
      <c r="K19" s="302">
        <f t="shared" si="17"/>
        <v>27.178120838777925</v>
      </c>
      <c r="L19" s="302">
        <f>Мос!C8</f>
        <v>288.18</v>
      </c>
      <c r="M19" s="302">
        <f>Мос!D8</f>
        <v>81.142610000000005</v>
      </c>
      <c r="N19" s="302">
        <f t="shared" si="18"/>
        <v>28.156919286557013</v>
      </c>
      <c r="O19" s="302">
        <f>Мос!C9</f>
        <v>3.09</v>
      </c>
      <c r="P19" s="456">
        <f>Мос!D9</f>
        <v>0.52897000000000005</v>
      </c>
      <c r="Q19" s="302">
        <f t="shared" si="19"/>
        <v>17.118770226537219</v>
      </c>
      <c r="R19" s="302">
        <f>Мос!C10</f>
        <v>481.32</v>
      </c>
      <c r="S19" s="302">
        <f>Мос!D10</f>
        <v>113.88798</v>
      </c>
      <c r="T19" s="302">
        <f t="shared" si="20"/>
        <v>23.661593118922962</v>
      </c>
      <c r="U19" s="302">
        <f>Мос!C11</f>
        <v>0</v>
      </c>
      <c r="V19" s="314">
        <f>Мос!D11</f>
        <v>-16.760570000000001</v>
      </c>
      <c r="W19" s="302" t="e">
        <f t="shared" si="21"/>
        <v>#DIV/0!</v>
      </c>
      <c r="X19" s="310">
        <f>Мос!C13</f>
        <v>30</v>
      </c>
      <c r="Y19" s="310">
        <f>Мос!D13</f>
        <v>20.815799999999999</v>
      </c>
      <c r="Z19" s="302">
        <f t="shared" si="22"/>
        <v>69.38600000000001</v>
      </c>
      <c r="AA19" s="310">
        <f>Мос!C15</f>
        <v>450</v>
      </c>
      <c r="AB19" s="301">
        <f>Мос!D15</f>
        <v>346.6943</v>
      </c>
      <c r="AC19" s="302">
        <f t="shared" si="23"/>
        <v>77.043177777777785</v>
      </c>
      <c r="AD19" s="310">
        <f>Мос!C16</f>
        <v>2151</v>
      </c>
      <c r="AE19" s="310">
        <f>Мос!D16</f>
        <v>123.13102000000001</v>
      </c>
      <c r="AF19" s="302">
        <f t="shared" si="4"/>
        <v>5.7243616922361698</v>
      </c>
      <c r="AG19" s="302">
        <f>Мос!C18</f>
        <v>8</v>
      </c>
      <c r="AH19" s="302">
        <f>Мос!D18</f>
        <v>0.4</v>
      </c>
      <c r="AI19" s="302">
        <f t="shared" si="24"/>
        <v>5</v>
      </c>
      <c r="AJ19" s="302"/>
      <c r="AK19" s="302"/>
      <c r="AL19" s="302" t="e">
        <f t="shared" si="5"/>
        <v>#DIV/0!</v>
      </c>
      <c r="AM19" s="310">
        <f>Мос!C27</f>
        <v>0</v>
      </c>
      <c r="AN19" s="310">
        <v>0</v>
      </c>
      <c r="AO19" s="302" t="e">
        <f t="shared" si="6"/>
        <v>#DIV/0!</v>
      </c>
      <c r="AP19" s="310">
        <v>0</v>
      </c>
      <c r="AQ19" s="311">
        <f>Мос!D27</f>
        <v>1.78</v>
      </c>
      <c r="AR19" s="302" t="e">
        <f t="shared" si="25"/>
        <v>#DIV/0!</v>
      </c>
      <c r="AS19" s="310">
        <f>Мос!C26</f>
        <v>0</v>
      </c>
      <c r="AT19" s="311">
        <f>Мос!D28</f>
        <v>0</v>
      </c>
      <c r="AU19" s="302" t="e">
        <f t="shared" si="26"/>
        <v>#DIV/0!</v>
      </c>
      <c r="AV19" s="310"/>
      <c r="AW19" s="310"/>
      <c r="AX19" s="302" t="e">
        <f t="shared" si="27"/>
        <v>#DIV/0!</v>
      </c>
      <c r="AY19" s="302">
        <f>Мос!C30</f>
        <v>0</v>
      </c>
      <c r="AZ19" s="305">
        <f>Мос!D30</f>
        <v>0</v>
      </c>
      <c r="BA19" s="302" t="e">
        <f t="shared" si="28"/>
        <v>#DIV/0!</v>
      </c>
      <c r="BB19" s="302"/>
      <c r="BC19" s="302"/>
      <c r="BD19" s="302"/>
      <c r="BE19" s="302">
        <f>Мос!C33</f>
        <v>0</v>
      </c>
      <c r="BF19" s="302">
        <f>Мос!D33</f>
        <v>0</v>
      </c>
      <c r="BG19" s="302" t="e">
        <f t="shared" si="29"/>
        <v>#DIV/0!</v>
      </c>
      <c r="BH19" s="302"/>
      <c r="BI19" s="302"/>
      <c r="BJ19" s="302" t="e">
        <f t="shared" si="30"/>
        <v>#DIV/0!</v>
      </c>
      <c r="BK19" s="302"/>
      <c r="BL19" s="302"/>
      <c r="BM19" s="302"/>
      <c r="BN19" s="302">
        <f>Мос!C34</f>
        <v>0</v>
      </c>
      <c r="BO19" s="302">
        <f>Мос!D35</f>
        <v>0</v>
      </c>
      <c r="BP19" s="295" t="e">
        <f t="shared" si="31"/>
        <v>#DIV/0!</v>
      </c>
      <c r="BQ19" s="302">
        <f>Мос!C36</f>
        <v>0</v>
      </c>
      <c r="BR19" s="476">
        <f>Мос!D36</f>
        <v>-1.78</v>
      </c>
      <c r="BS19" s="302" t="e">
        <f t="shared" si="32"/>
        <v>#DIV/0!</v>
      </c>
      <c r="BT19" s="302"/>
      <c r="BU19" s="302"/>
      <c r="BV19" s="312" t="e">
        <f t="shared" si="33"/>
        <v>#DIV/0!</v>
      </c>
      <c r="BW19" s="312"/>
      <c r="BX19" s="312"/>
      <c r="BY19" s="312" t="e">
        <f t="shared" si="34"/>
        <v>#DIV/0!</v>
      </c>
      <c r="BZ19" s="310">
        <f t="shared" si="35"/>
        <v>9468.2978999999996</v>
      </c>
      <c r="CA19" s="310">
        <f t="shared" si="36"/>
        <v>728.77089999999998</v>
      </c>
      <c r="CB19" s="302">
        <f t="shared" si="55"/>
        <v>7.6969578661017835</v>
      </c>
      <c r="CC19" s="302">
        <v>0</v>
      </c>
      <c r="CD19" s="302">
        <v>0</v>
      </c>
      <c r="CE19" s="302" t="e">
        <f>CD19/CC19*100</f>
        <v>#DIV/0!</v>
      </c>
      <c r="CF19" s="302">
        <v>1600</v>
      </c>
      <c r="CG19" s="302">
        <f>Мос!D42</f>
        <v>0</v>
      </c>
      <c r="CH19" s="302">
        <f t="shared" si="38"/>
        <v>0</v>
      </c>
      <c r="CI19" s="302">
        <f>Мос!C43</f>
        <v>5536.2950199999996</v>
      </c>
      <c r="CJ19" s="302">
        <f>Мос!D43</f>
        <v>183.971</v>
      </c>
      <c r="CK19" s="302">
        <f t="shared" si="7"/>
        <v>3.3229984915074127</v>
      </c>
      <c r="CL19" s="302">
        <f>Мос!C45</f>
        <v>184.863</v>
      </c>
      <c r="CM19" s="302">
        <f>Мос!D45</f>
        <v>44.799900000000001</v>
      </c>
      <c r="CN19" s="302">
        <f t="shared" si="8"/>
        <v>24.234108501971733</v>
      </c>
      <c r="CO19" s="302">
        <f>Мос!C46</f>
        <v>1647.3</v>
      </c>
      <c r="CP19" s="302">
        <f>Мос!D46</f>
        <v>0</v>
      </c>
      <c r="CQ19" s="295">
        <f t="shared" si="39"/>
        <v>0</v>
      </c>
      <c r="CR19" s="314">
        <v>499.83987999999999</v>
      </c>
      <c r="CS19" s="302">
        <f>Мос!D47</f>
        <v>500</v>
      </c>
      <c r="CT19" s="302">
        <f t="shared" si="9"/>
        <v>100.032034258651</v>
      </c>
      <c r="CU19" s="302"/>
      <c r="CV19" s="302"/>
      <c r="CW19" s="302"/>
      <c r="CX19" s="310"/>
      <c r="CY19" s="310"/>
      <c r="CZ19" s="302" t="e">
        <f t="shared" si="40"/>
        <v>#DIV/0!</v>
      </c>
      <c r="DA19" s="302"/>
      <c r="DB19" s="302"/>
      <c r="DC19" s="302"/>
      <c r="DD19" s="302"/>
      <c r="DE19" s="302"/>
      <c r="DF19" s="302"/>
      <c r="DG19" s="304">
        <f t="shared" si="41"/>
        <v>14635.782809999999</v>
      </c>
      <c r="DH19" s="304">
        <f t="shared" si="41"/>
        <v>1017.53135</v>
      </c>
      <c r="DI19" s="302">
        <f t="shared" si="42"/>
        <v>6.9523534423096569</v>
      </c>
      <c r="DJ19" s="310">
        <f t="shared" si="43"/>
        <v>2234.732</v>
      </c>
      <c r="DK19" s="310">
        <f t="shared" si="43"/>
        <v>447.68360999999999</v>
      </c>
      <c r="DL19" s="302">
        <f t="shared" si="44"/>
        <v>20.032988743169202</v>
      </c>
      <c r="DM19" s="302">
        <f>Мос!C59</f>
        <v>2193.3000000000002</v>
      </c>
      <c r="DN19" s="302">
        <f>Мос!D59</f>
        <v>447.68360999999999</v>
      </c>
      <c r="DO19" s="302">
        <f t="shared" si="45"/>
        <v>20.4114170428122</v>
      </c>
      <c r="DP19" s="302">
        <f>Мос!C62</f>
        <v>32</v>
      </c>
      <c r="DQ19" s="302">
        <f>Мос!D62</f>
        <v>0</v>
      </c>
      <c r="DR19" s="302">
        <f t="shared" si="46"/>
        <v>0</v>
      </c>
      <c r="DS19" s="302">
        <f>Мос!C63</f>
        <v>5</v>
      </c>
      <c r="DT19" s="302">
        <f>Мос!D63</f>
        <v>0</v>
      </c>
      <c r="DU19" s="302">
        <f t="shared" si="47"/>
        <v>0</v>
      </c>
      <c r="DV19" s="302">
        <f>Мос!C64</f>
        <v>4.4320000000000004</v>
      </c>
      <c r="DW19" s="302">
        <f>Мос!D64</f>
        <v>0</v>
      </c>
      <c r="DX19" s="302">
        <f t="shared" si="48"/>
        <v>0</v>
      </c>
      <c r="DY19" s="302">
        <f>Мос!C66</f>
        <v>180.68299999999999</v>
      </c>
      <c r="DZ19" s="302">
        <f>Мос!D66</f>
        <v>26.476759999999999</v>
      </c>
      <c r="EA19" s="302">
        <f t="shared" si="49"/>
        <v>14.6537084285738</v>
      </c>
      <c r="EB19" s="302">
        <f>Мос!C67</f>
        <v>6</v>
      </c>
      <c r="EC19" s="302">
        <f>Мос!D67</f>
        <v>0.6</v>
      </c>
      <c r="ED19" s="302">
        <f t="shared" si="50"/>
        <v>10</v>
      </c>
      <c r="EE19" s="310">
        <f>Мос!C73</f>
        <v>10404.35981</v>
      </c>
      <c r="EF19" s="310">
        <f>Мос!D73</f>
        <v>257.90600000000001</v>
      </c>
      <c r="EG19" s="302">
        <f t="shared" si="51"/>
        <v>2.4788262296745773</v>
      </c>
      <c r="EH19" s="310">
        <f>Мос!C78</f>
        <v>566.00800000000004</v>
      </c>
      <c r="EI19" s="310">
        <f>Мос!D78</f>
        <v>269.86498</v>
      </c>
      <c r="EJ19" s="302">
        <f t="shared" si="52"/>
        <v>47.678651185142257</v>
      </c>
      <c r="EK19" s="310">
        <f>Мос!C83</f>
        <v>1212</v>
      </c>
      <c r="EL19" s="315">
        <f>Мос!D83</f>
        <v>0</v>
      </c>
      <c r="EM19" s="302">
        <f t="shared" si="10"/>
        <v>0</v>
      </c>
      <c r="EN19" s="302">
        <f>Мос!C91</f>
        <v>0</v>
      </c>
      <c r="EO19" s="302">
        <f>Мос!D91</f>
        <v>0</v>
      </c>
      <c r="EP19" s="302" t="e">
        <f t="shared" si="11"/>
        <v>#DIV/0!</v>
      </c>
      <c r="EQ19" s="316">
        <f>Мос!C93</f>
        <v>32</v>
      </c>
      <c r="ER19" s="316">
        <f>Мос!D93</f>
        <v>15</v>
      </c>
      <c r="ES19" s="302">
        <f t="shared" si="53"/>
        <v>46.875</v>
      </c>
      <c r="ET19" s="302">
        <f>Мос!C99</f>
        <v>0</v>
      </c>
      <c r="EU19" s="302">
        <f>Мос!D99</f>
        <v>0</v>
      </c>
      <c r="EV19" s="302" t="e">
        <f t="shared" si="54"/>
        <v>#DIV/0!</v>
      </c>
      <c r="EW19" s="326">
        <f t="shared" si="12"/>
        <v>-148.79490999999871</v>
      </c>
      <c r="EX19" s="326">
        <f t="shared" si="13"/>
        <v>817.85924000000023</v>
      </c>
      <c r="EY19" s="302">
        <f t="shared" si="56"/>
        <v>-549.65538807745997</v>
      </c>
      <c r="EZ19" s="251"/>
      <c r="FA19" s="252"/>
      <c r="FC19" s="252"/>
    </row>
    <row r="20" spans="1:170" s="162" customFormat="1" ht="24.75" customHeight="1">
      <c r="A20" s="338">
        <v>7</v>
      </c>
      <c r="B20" s="340" t="s">
        <v>295</v>
      </c>
      <c r="C20" s="293">
        <f t="shared" si="14"/>
        <v>16837.476579999999</v>
      </c>
      <c r="D20" s="294">
        <f t="shared" si="0"/>
        <v>1011.79883</v>
      </c>
      <c r="E20" s="302">
        <f t="shared" si="1"/>
        <v>6.0092070518562233</v>
      </c>
      <c r="F20" s="296">
        <f t="shared" si="15"/>
        <v>2832.9399999999996</v>
      </c>
      <c r="G20" s="296">
        <f t="shared" si="3"/>
        <v>361.43463000000003</v>
      </c>
      <c r="H20" s="302">
        <f t="shared" si="16"/>
        <v>12.758287503441657</v>
      </c>
      <c r="I20" s="318">
        <f>Ори!C6</f>
        <v>187.5</v>
      </c>
      <c r="J20" s="445">
        <f>Ори!D6</f>
        <v>55.42022</v>
      </c>
      <c r="K20" s="302">
        <f t="shared" si="17"/>
        <v>29.557450666666668</v>
      </c>
      <c r="L20" s="302">
        <f>Ори!C8</f>
        <v>183.91</v>
      </c>
      <c r="M20" s="302">
        <f>Ори!D8</f>
        <v>51.781790000000001</v>
      </c>
      <c r="N20" s="295">
        <f t="shared" si="18"/>
        <v>28.156049154477735</v>
      </c>
      <c r="O20" s="295">
        <f>Ори!C9</f>
        <v>1.97</v>
      </c>
      <c r="P20" s="330">
        <f>Ори!D9</f>
        <v>0.33756000000000003</v>
      </c>
      <c r="Q20" s="295">
        <f t="shared" si="19"/>
        <v>17.135025380710662</v>
      </c>
      <c r="R20" s="295">
        <f>Ори!C10</f>
        <v>307.16000000000003</v>
      </c>
      <c r="S20" s="295">
        <f>Ори!D10</f>
        <v>72.678510000000003</v>
      </c>
      <c r="T20" s="295">
        <f t="shared" si="20"/>
        <v>23.661450058601378</v>
      </c>
      <c r="U20" s="295">
        <f>Ори!C11</f>
        <v>0</v>
      </c>
      <c r="V20" s="299">
        <f>Ори!D11</f>
        <v>-10.6959</v>
      </c>
      <c r="W20" s="295" t="e">
        <f t="shared" si="21"/>
        <v>#DIV/0!</v>
      </c>
      <c r="X20" s="310">
        <f>Ори!C13</f>
        <v>30</v>
      </c>
      <c r="Y20" s="310">
        <f>Ори!D13</f>
        <v>4.1540999999999997</v>
      </c>
      <c r="Z20" s="302">
        <f t="shared" si="22"/>
        <v>13.846999999999998</v>
      </c>
      <c r="AA20" s="310">
        <f>Ори!C15</f>
        <v>290</v>
      </c>
      <c r="AB20" s="301">
        <f>Ори!D15</f>
        <v>12.48854</v>
      </c>
      <c r="AC20" s="302">
        <f t="shared" si="23"/>
        <v>4.3063931034482756</v>
      </c>
      <c r="AD20" s="310">
        <f>Ори!C16</f>
        <v>1492</v>
      </c>
      <c r="AE20" s="310">
        <f>Ори!D16</f>
        <v>110.31704000000001</v>
      </c>
      <c r="AF20" s="302">
        <f t="shared" si="4"/>
        <v>7.3939034852546923</v>
      </c>
      <c r="AG20" s="302">
        <f>Ори!C18</f>
        <v>6</v>
      </c>
      <c r="AH20" s="302">
        <f>Ори!D18</f>
        <v>3.25</v>
      </c>
      <c r="AI20" s="302">
        <f t="shared" si="24"/>
        <v>54.166666666666664</v>
      </c>
      <c r="AJ20" s="302"/>
      <c r="AK20" s="302"/>
      <c r="AL20" s="302" t="e">
        <f t="shared" si="5"/>
        <v>#DIV/0!</v>
      </c>
      <c r="AM20" s="310">
        <v>0</v>
      </c>
      <c r="AN20" s="310">
        <v>0</v>
      </c>
      <c r="AO20" s="302" t="e">
        <f t="shared" si="6"/>
        <v>#DIV/0!</v>
      </c>
      <c r="AP20" s="310">
        <f>Ори!C27</f>
        <v>230.4</v>
      </c>
      <c r="AQ20" s="311">
        <f>Ори!D27</f>
        <v>48.071919999999999</v>
      </c>
      <c r="AR20" s="302">
        <f t="shared" si="25"/>
        <v>20.864548611111111</v>
      </c>
      <c r="AS20" s="304">
        <f>Ори!C28</f>
        <v>54</v>
      </c>
      <c r="AT20" s="311">
        <f>Ори!D28</f>
        <v>13.5</v>
      </c>
      <c r="AU20" s="302">
        <f t="shared" si="26"/>
        <v>25</v>
      </c>
      <c r="AV20" s="310"/>
      <c r="AW20" s="310"/>
      <c r="AX20" s="302" t="e">
        <f t="shared" si="27"/>
        <v>#DIV/0!</v>
      </c>
      <c r="AY20" s="302">
        <f>Ори!C30</f>
        <v>50</v>
      </c>
      <c r="AZ20" s="305">
        <f>Ори!D30</f>
        <v>0.13084999999999999</v>
      </c>
      <c r="BA20" s="302">
        <f t="shared" si="28"/>
        <v>0.26169999999999999</v>
      </c>
      <c r="BB20" s="302"/>
      <c r="BC20" s="302"/>
      <c r="BD20" s="302"/>
      <c r="BE20" s="302">
        <f>Ори!C33</f>
        <v>0</v>
      </c>
      <c r="BF20" s="302">
        <f>Ори!D33</f>
        <v>0</v>
      </c>
      <c r="BG20" s="302" t="e">
        <f t="shared" si="29"/>
        <v>#DIV/0!</v>
      </c>
      <c r="BH20" s="302"/>
      <c r="BI20" s="302"/>
      <c r="BJ20" s="302" t="e">
        <f t="shared" si="30"/>
        <v>#DIV/0!</v>
      </c>
      <c r="BK20" s="302"/>
      <c r="BL20" s="302"/>
      <c r="BM20" s="302"/>
      <c r="BN20" s="302">
        <f>Ори!C35</f>
        <v>0</v>
      </c>
      <c r="BO20" s="302">
        <f>Ори!D34</f>
        <v>0</v>
      </c>
      <c r="BP20" s="295" t="e">
        <f t="shared" si="31"/>
        <v>#DIV/0!</v>
      </c>
      <c r="BQ20" s="302">
        <f>Ори!C36</f>
        <v>0</v>
      </c>
      <c r="BR20" s="476">
        <f>Ори!D36</f>
        <v>0</v>
      </c>
      <c r="BS20" s="302" t="e">
        <f t="shared" si="32"/>
        <v>#DIV/0!</v>
      </c>
      <c r="BT20" s="302"/>
      <c r="BU20" s="302"/>
      <c r="BV20" s="312" t="e">
        <f t="shared" si="33"/>
        <v>#DIV/0!</v>
      </c>
      <c r="BW20" s="312"/>
      <c r="BX20" s="312"/>
      <c r="BY20" s="312" t="e">
        <f t="shared" si="34"/>
        <v>#DIV/0!</v>
      </c>
      <c r="BZ20" s="300">
        <f t="shared" si="35"/>
        <v>14004.53658</v>
      </c>
      <c r="CA20" s="300">
        <f t="shared" si="36"/>
        <v>650.36419999999998</v>
      </c>
      <c r="CB20" s="302">
        <f t="shared" si="55"/>
        <v>4.6439537380250817</v>
      </c>
      <c r="CC20" s="302">
        <f>Ори!C41</f>
        <v>1597</v>
      </c>
      <c r="CD20" s="302">
        <f>Ори!D41</f>
        <v>399.24299999999999</v>
      </c>
      <c r="CE20" s="302">
        <f t="shared" si="37"/>
        <v>24.999561678146527</v>
      </c>
      <c r="CF20" s="302">
        <f>Ори!C42</f>
        <v>265</v>
      </c>
      <c r="CG20" s="302">
        <f>Ори!D42</f>
        <v>0</v>
      </c>
      <c r="CH20" s="302">
        <f t="shared" si="38"/>
        <v>0</v>
      </c>
      <c r="CI20" s="302">
        <f>Ори!C43</f>
        <v>3828.3399899999999</v>
      </c>
      <c r="CJ20" s="302">
        <f>Ори!D43</f>
        <v>118.05500000000001</v>
      </c>
      <c r="CK20" s="302">
        <f t="shared" si="7"/>
        <v>3.0837125309761215</v>
      </c>
      <c r="CL20" s="302">
        <f>Ори!C45</f>
        <v>184.863</v>
      </c>
      <c r="CM20" s="302">
        <f>Ори!D45</f>
        <v>44.799900000000001</v>
      </c>
      <c r="CN20" s="302">
        <f t="shared" si="8"/>
        <v>24.234108501971733</v>
      </c>
      <c r="CO20" s="302">
        <f>Ори!C46</f>
        <v>7852.1431000000002</v>
      </c>
      <c r="CP20" s="302">
        <f>Ори!D46</f>
        <v>0</v>
      </c>
      <c r="CQ20" s="295">
        <f t="shared" si="39"/>
        <v>0</v>
      </c>
      <c r="CR20" s="314">
        <f>Ори!C47</f>
        <v>277.19049000000001</v>
      </c>
      <c r="CS20" s="302">
        <f>Ори!D47</f>
        <v>88.266300000000001</v>
      </c>
      <c r="CT20" s="302">
        <f t="shared" si="9"/>
        <v>31.843192022929788</v>
      </c>
      <c r="CU20" s="302"/>
      <c r="CV20" s="302"/>
      <c r="CW20" s="302"/>
      <c r="CX20" s="310"/>
      <c r="CY20" s="310"/>
      <c r="CZ20" s="302" t="e">
        <f t="shared" si="40"/>
        <v>#DIV/0!</v>
      </c>
      <c r="DA20" s="302"/>
      <c r="DB20" s="302"/>
      <c r="DC20" s="302"/>
      <c r="DD20" s="302"/>
      <c r="DE20" s="302"/>
      <c r="DF20" s="302"/>
      <c r="DG20" s="304">
        <f t="shared" si="41"/>
        <v>17040.2232</v>
      </c>
      <c r="DH20" s="304">
        <f t="shared" si="41"/>
        <v>838.16281000000004</v>
      </c>
      <c r="DI20" s="302">
        <f t="shared" si="42"/>
        <v>4.9187314048797202</v>
      </c>
      <c r="DJ20" s="310">
        <f t="shared" si="43"/>
        <v>1491.9949999999999</v>
      </c>
      <c r="DK20" s="310">
        <f t="shared" si="43"/>
        <v>256.92331999999999</v>
      </c>
      <c r="DL20" s="302">
        <f t="shared" si="44"/>
        <v>17.220119370373226</v>
      </c>
      <c r="DM20" s="302">
        <f>Ори!C58</f>
        <v>1441</v>
      </c>
      <c r="DN20" s="302">
        <f>Ори!D58</f>
        <v>256.92331999999999</v>
      </c>
      <c r="DO20" s="302">
        <f t="shared" si="45"/>
        <v>17.829515614156836</v>
      </c>
      <c r="DP20" s="302">
        <f>Ори!C61</f>
        <v>42</v>
      </c>
      <c r="DQ20" s="302">
        <f>Ори!D61</f>
        <v>0</v>
      </c>
      <c r="DR20" s="302">
        <f t="shared" si="46"/>
        <v>0</v>
      </c>
      <c r="DS20" s="302">
        <f>Ори!C62</f>
        <v>5</v>
      </c>
      <c r="DT20" s="302">
        <f>Ори!D62</f>
        <v>0</v>
      </c>
      <c r="DU20" s="302">
        <f t="shared" si="47"/>
        <v>0</v>
      </c>
      <c r="DV20" s="302">
        <f>Ори!C63</f>
        <v>3.9950000000000001</v>
      </c>
      <c r="DW20" s="302">
        <f>Ори!D63</f>
        <v>0</v>
      </c>
      <c r="DX20" s="302">
        <f t="shared" si="48"/>
        <v>0</v>
      </c>
      <c r="DY20" s="302">
        <f>Ори!C65</f>
        <v>180.68299999999999</v>
      </c>
      <c r="DZ20" s="302">
        <f>Ори!D65</f>
        <v>35.588999999999999</v>
      </c>
      <c r="EA20" s="302">
        <f t="shared" si="49"/>
        <v>19.696927768522769</v>
      </c>
      <c r="EB20" s="302">
        <f>Ори!C66</f>
        <v>10</v>
      </c>
      <c r="EC20" s="302">
        <f>Ори!D66</f>
        <v>1.5</v>
      </c>
      <c r="ED20" s="302">
        <f t="shared" si="50"/>
        <v>15</v>
      </c>
      <c r="EE20" s="310">
        <f>Ори!C72</f>
        <v>4050.51811</v>
      </c>
      <c r="EF20" s="310">
        <f>Ори!D72</f>
        <v>159.113</v>
      </c>
      <c r="EG20" s="302">
        <f t="shared" si="51"/>
        <v>3.9282135193317282</v>
      </c>
      <c r="EH20" s="310">
        <f>Ори!C77</f>
        <v>8286.7520999999997</v>
      </c>
      <c r="EI20" s="310">
        <f>Ори!D77</f>
        <v>144.32549</v>
      </c>
      <c r="EJ20" s="302">
        <f t="shared" si="52"/>
        <v>1.7416412155010645</v>
      </c>
      <c r="EK20" s="310">
        <f>Ори!C82</f>
        <v>3018.2749899999999</v>
      </c>
      <c r="EL20" s="315">
        <f>Ори!D82</f>
        <v>240.71199999999999</v>
      </c>
      <c r="EM20" s="302">
        <f t="shared" si="10"/>
        <v>7.9751513959965585</v>
      </c>
      <c r="EN20" s="302">
        <f>Ори!C84</f>
        <v>0</v>
      </c>
      <c r="EO20" s="302">
        <f>Ори!D84</f>
        <v>0</v>
      </c>
      <c r="EP20" s="302" t="e">
        <f t="shared" si="11"/>
        <v>#DIV/0!</v>
      </c>
      <c r="EQ20" s="316">
        <f>Ори!C89</f>
        <v>2</v>
      </c>
      <c r="ER20" s="316">
        <f>Ори!D89</f>
        <v>0</v>
      </c>
      <c r="ES20" s="302">
        <f t="shared" si="53"/>
        <v>0</v>
      </c>
      <c r="ET20" s="302">
        <f>Ори!C95</f>
        <v>0</v>
      </c>
      <c r="EU20" s="302">
        <f>Ори!D95</f>
        <v>0</v>
      </c>
      <c r="EV20" s="295" t="e">
        <f t="shared" si="54"/>
        <v>#DIV/0!</v>
      </c>
      <c r="EW20" s="309">
        <f t="shared" si="12"/>
        <v>-202.74662000000171</v>
      </c>
      <c r="EX20" s="309">
        <f t="shared" si="13"/>
        <v>173.63601999999992</v>
      </c>
      <c r="EY20" s="295">
        <f t="shared" si="56"/>
        <v>-85.641881477480837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8">
        <v>8</v>
      </c>
      <c r="B21" s="340" t="s">
        <v>296</v>
      </c>
      <c r="C21" s="293">
        <f t="shared" si="14"/>
        <v>14033.300950000001</v>
      </c>
      <c r="D21" s="294">
        <f t="shared" si="0"/>
        <v>1756.6894299999999</v>
      </c>
      <c r="E21" s="302">
        <f t="shared" si="1"/>
        <v>12.518005822429112</v>
      </c>
      <c r="F21" s="296">
        <f t="shared" si="15"/>
        <v>2308.6930000000002</v>
      </c>
      <c r="G21" s="296">
        <f t="shared" si="3"/>
        <v>400.95228000000003</v>
      </c>
      <c r="H21" s="302">
        <f t="shared" si="16"/>
        <v>17.367067860473437</v>
      </c>
      <c r="I21" s="310">
        <f>Сят!C6</f>
        <v>137.6</v>
      </c>
      <c r="J21" s="446">
        <f>Сят!D6</f>
        <v>25.708480000000002</v>
      </c>
      <c r="K21" s="302">
        <f t="shared" si="17"/>
        <v>18.683488372093024</v>
      </c>
      <c r="L21" s="302">
        <f>Сят!C8</f>
        <v>227.51</v>
      </c>
      <c r="M21" s="302">
        <f>Сят!D8</f>
        <v>64.059910000000002</v>
      </c>
      <c r="N21" s="295">
        <f t="shared" si="18"/>
        <v>28.15696452903169</v>
      </c>
      <c r="O21" s="295">
        <f>Сят!C9</f>
        <v>2.44</v>
      </c>
      <c r="P21" s="330">
        <f>Сят!D9</f>
        <v>0.41760999999999998</v>
      </c>
      <c r="Q21" s="295">
        <f t="shared" si="19"/>
        <v>17.115163934426228</v>
      </c>
      <c r="R21" s="295">
        <f>Сят!C10</f>
        <v>379.99</v>
      </c>
      <c r="S21" s="295">
        <f>Сят!D10</f>
        <v>89.911559999999994</v>
      </c>
      <c r="T21" s="295">
        <f t="shared" si="20"/>
        <v>23.661559514724072</v>
      </c>
      <c r="U21" s="295">
        <f>Сят!C11</f>
        <v>0</v>
      </c>
      <c r="V21" s="299">
        <f>Сят!D11</f>
        <v>-13.23204</v>
      </c>
      <c r="W21" s="295" t="e">
        <f t="shared" si="21"/>
        <v>#DIV/0!</v>
      </c>
      <c r="X21" s="310">
        <f>Сят!C13</f>
        <v>50</v>
      </c>
      <c r="Y21" s="310">
        <f>Сят!D13</f>
        <v>3.8325</v>
      </c>
      <c r="Z21" s="302">
        <f t="shared" si="22"/>
        <v>7.6649999999999991</v>
      </c>
      <c r="AA21" s="310">
        <f>Сят!C15</f>
        <v>150</v>
      </c>
      <c r="AB21" s="301">
        <f>Сят!D15</f>
        <v>11.227449999999999</v>
      </c>
      <c r="AC21" s="302">
        <f t="shared" si="23"/>
        <v>7.4849666666666659</v>
      </c>
      <c r="AD21" s="310">
        <f>Сят!C16</f>
        <v>905</v>
      </c>
      <c r="AE21" s="310">
        <f>Сят!D16</f>
        <v>83.943370000000002</v>
      </c>
      <c r="AF21" s="302">
        <f t="shared" si="4"/>
        <v>9.275510497237569</v>
      </c>
      <c r="AG21" s="302">
        <f>Сят!C18</f>
        <v>4</v>
      </c>
      <c r="AH21" s="302">
        <f>Сят!D18</f>
        <v>1.5</v>
      </c>
      <c r="AI21" s="302">
        <f t="shared" si="24"/>
        <v>37.5</v>
      </c>
      <c r="AJ21" s="302">
        <f>Сят!C22</f>
        <v>0</v>
      </c>
      <c r="AK21" s="302">
        <f>Сят!D20</f>
        <v>0</v>
      </c>
      <c r="AL21" s="302" t="e">
        <f t="shared" si="5"/>
        <v>#DIV/0!</v>
      </c>
      <c r="AM21" s="310">
        <v>0</v>
      </c>
      <c r="AN21" s="310">
        <v>0</v>
      </c>
      <c r="AO21" s="302" t="e">
        <f t="shared" si="6"/>
        <v>#DIV/0!</v>
      </c>
      <c r="AP21" s="310">
        <f>Сят!C27</f>
        <v>445.45299999999997</v>
      </c>
      <c r="AQ21" s="311">
        <f>Сят!D27</f>
        <v>131.88999999999999</v>
      </c>
      <c r="AR21" s="302">
        <f t="shared" si="25"/>
        <v>29.608061905520895</v>
      </c>
      <c r="AS21" s="304">
        <f>Сят!C28</f>
        <v>6.7</v>
      </c>
      <c r="AT21" s="311">
        <f>Сят!D28</f>
        <v>1.6934400000000001</v>
      </c>
      <c r="AU21" s="302">
        <f t="shared" si="26"/>
        <v>25.275223880597014</v>
      </c>
      <c r="AV21" s="310"/>
      <c r="AW21" s="310"/>
      <c r="AX21" s="302" t="e">
        <f t="shared" si="27"/>
        <v>#DIV/0!</v>
      </c>
      <c r="AY21" s="302">
        <f>Сят!C30</f>
        <v>0</v>
      </c>
      <c r="AZ21" s="305">
        <f>Сят!D30</f>
        <v>0</v>
      </c>
      <c r="BA21" s="302" t="e">
        <f t="shared" si="28"/>
        <v>#DIV/0!</v>
      </c>
      <c r="BB21" s="302"/>
      <c r="BC21" s="302"/>
      <c r="BD21" s="302"/>
      <c r="BE21" s="302">
        <f>Сят!C33</f>
        <v>0</v>
      </c>
      <c r="BF21" s="302">
        <f>Сят!D33</f>
        <v>0</v>
      </c>
      <c r="BG21" s="302" t="e">
        <f t="shared" si="29"/>
        <v>#DIV/0!</v>
      </c>
      <c r="BH21" s="302"/>
      <c r="BI21" s="302"/>
      <c r="BJ21" s="302" t="e">
        <f t="shared" si="30"/>
        <v>#DIV/0!</v>
      </c>
      <c r="BK21" s="302"/>
      <c r="BL21" s="302"/>
      <c r="BM21" s="302"/>
      <c r="BN21" s="302">
        <f>Сят!C34</f>
        <v>0</v>
      </c>
      <c r="BO21" s="302">
        <f>Сят!D34</f>
        <v>0</v>
      </c>
      <c r="BP21" s="295" t="e">
        <f t="shared" si="31"/>
        <v>#DIV/0!</v>
      </c>
      <c r="BQ21" s="302">
        <f>Сят!C36</f>
        <v>0</v>
      </c>
      <c r="BR21" s="476">
        <f>Сят!D36</f>
        <v>0</v>
      </c>
      <c r="BS21" s="302" t="e">
        <f t="shared" si="32"/>
        <v>#DIV/0!</v>
      </c>
      <c r="BT21" s="302"/>
      <c r="BU21" s="302"/>
      <c r="BV21" s="312" t="e">
        <f t="shared" si="33"/>
        <v>#DIV/0!</v>
      </c>
      <c r="BW21" s="312"/>
      <c r="BX21" s="312"/>
      <c r="BY21" s="312" t="e">
        <f t="shared" si="34"/>
        <v>#DIV/0!</v>
      </c>
      <c r="BZ21" s="300">
        <f t="shared" si="35"/>
        <v>11724.60795</v>
      </c>
      <c r="CA21" s="300">
        <f t="shared" si="36"/>
        <v>1355.7371499999999</v>
      </c>
      <c r="CB21" s="302">
        <f t="shared" si="55"/>
        <v>11.563176831000135</v>
      </c>
      <c r="CC21" s="302">
        <f>Сят!C41</f>
        <v>3036.7</v>
      </c>
      <c r="CD21" s="302">
        <f>Сят!D41</f>
        <v>759.16200000000003</v>
      </c>
      <c r="CE21" s="302">
        <f t="shared" si="37"/>
        <v>24.999571903711267</v>
      </c>
      <c r="CF21" s="302">
        <f>Сят!C42</f>
        <v>0</v>
      </c>
      <c r="CG21" s="302">
        <f>Сят!D42</f>
        <v>0</v>
      </c>
      <c r="CH21" s="302" t="e">
        <f t="shared" si="38"/>
        <v>#DIV/0!</v>
      </c>
      <c r="CI21" s="302">
        <f>Сят!C43</f>
        <v>5259.6943799999999</v>
      </c>
      <c r="CJ21" s="302">
        <f>Сят!D43</f>
        <v>118.544</v>
      </c>
      <c r="CK21" s="302">
        <f t="shared" si="7"/>
        <v>2.2538191658200488</v>
      </c>
      <c r="CL21" s="302">
        <f>Сят!C44</f>
        <v>183.66300000000001</v>
      </c>
      <c r="CM21" s="302">
        <f>Сят!D44</f>
        <v>44.799900000000001</v>
      </c>
      <c r="CN21" s="302">
        <f t="shared" si="8"/>
        <v>24.392447036147725</v>
      </c>
      <c r="CO21" s="302">
        <f>Сят!C48</f>
        <v>2812</v>
      </c>
      <c r="CP21" s="302">
        <f>Сят!D48</f>
        <v>0</v>
      </c>
      <c r="CQ21" s="295">
        <f t="shared" si="39"/>
        <v>0</v>
      </c>
      <c r="CR21" s="314">
        <f>Сят!C49</f>
        <v>432.55056999999999</v>
      </c>
      <c r="CS21" s="302">
        <f>Сят!D49</f>
        <v>433.23124999999999</v>
      </c>
      <c r="CT21" s="302">
        <f t="shared" si="9"/>
        <v>100.15736425916629</v>
      </c>
      <c r="CU21" s="302"/>
      <c r="CV21" s="302">
        <f>Сят!D50</f>
        <v>0</v>
      </c>
      <c r="CW21" s="302"/>
      <c r="CX21" s="310"/>
      <c r="CY21" s="310"/>
      <c r="CZ21" s="302" t="e">
        <f t="shared" si="40"/>
        <v>#DIV/0!</v>
      </c>
      <c r="DA21" s="302"/>
      <c r="DB21" s="302"/>
      <c r="DC21" s="302"/>
      <c r="DD21" s="302"/>
      <c r="DE21" s="302"/>
      <c r="DF21" s="302"/>
      <c r="DG21" s="304">
        <f t="shared" si="41"/>
        <v>14542.80746</v>
      </c>
      <c r="DH21" s="304">
        <f t="shared" si="41"/>
        <v>1298.5722000000001</v>
      </c>
      <c r="DI21" s="302">
        <f t="shared" si="42"/>
        <v>8.9293088942539018</v>
      </c>
      <c r="DJ21" s="310">
        <f t="shared" si="43"/>
        <v>1448.9010000000001</v>
      </c>
      <c r="DK21" s="310">
        <f>Сят!D56</f>
        <v>273.39107999999999</v>
      </c>
      <c r="DL21" s="302">
        <f t="shared" si="44"/>
        <v>18.868858534848133</v>
      </c>
      <c r="DM21" s="302">
        <f>Сят!C58</f>
        <v>1396.2</v>
      </c>
      <c r="DN21" s="302">
        <f>Сят!D58</f>
        <v>272.14107999999999</v>
      </c>
      <c r="DO21" s="302">
        <f t="shared" si="45"/>
        <v>19.491554218593325</v>
      </c>
      <c r="DP21" s="302">
        <f>Сят!C61</f>
        <v>42</v>
      </c>
      <c r="DQ21" s="302">
        <f>Сят!D61</f>
        <v>0</v>
      </c>
      <c r="DR21" s="302">
        <f t="shared" si="46"/>
        <v>0</v>
      </c>
      <c r="DS21" s="302">
        <f>Сят!C62</f>
        <v>5</v>
      </c>
      <c r="DT21" s="302">
        <f>Сят!D62</f>
        <v>0</v>
      </c>
      <c r="DU21" s="302">
        <f t="shared" si="47"/>
        <v>0</v>
      </c>
      <c r="DV21" s="302">
        <f>Сят!C63</f>
        <v>5.7009999999999996</v>
      </c>
      <c r="DW21" s="302">
        <f>Сят!D63</f>
        <v>1.25</v>
      </c>
      <c r="DX21" s="302">
        <f t="shared" si="48"/>
        <v>21.925977898614278</v>
      </c>
      <c r="DY21" s="302">
        <f>Сят!C65</f>
        <v>180.68299999999999</v>
      </c>
      <c r="DZ21" s="302">
        <f>Сят!D65</f>
        <v>36.386519999999997</v>
      </c>
      <c r="EA21" s="302">
        <f t="shared" si="49"/>
        <v>20.138319598412689</v>
      </c>
      <c r="EB21" s="302">
        <f>Сят!C66</f>
        <v>6</v>
      </c>
      <c r="EC21" s="302">
        <f>Сят!D66</f>
        <v>0</v>
      </c>
      <c r="ED21" s="302">
        <f t="shared" si="50"/>
        <v>0</v>
      </c>
      <c r="EE21" s="310">
        <f>Сят!C72</f>
        <v>6965.2670500000004</v>
      </c>
      <c r="EF21" s="310">
        <f>Сят!D72</f>
        <v>211.797</v>
      </c>
      <c r="EG21" s="302">
        <f t="shared" si="51"/>
        <v>3.0407592197057252</v>
      </c>
      <c r="EH21" s="310">
        <f>Сят!C77</f>
        <v>3805.6564100000001</v>
      </c>
      <c r="EI21" s="310">
        <f>Сят!D77</f>
        <v>221.94488999999999</v>
      </c>
      <c r="EJ21" s="302">
        <f t="shared" si="52"/>
        <v>5.8319739379730287</v>
      </c>
      <c r="EK21" s="310">
        <f>Сят!C81</f>
        <v>2134.3000000000002</v>
      </c>
      <c r="EL21" s="315">
        <f>Сят!D81</f>
        <v>554.08570999999995</v>
      </c>
      <c r="EM21" s="302">
        <f t="shared" si="10"/>
        <v>25.961004076277934</v>
      </c>
      <c r="EN21" s="302">
        <f>Сят!C83</f>
        <v>0</v>
      </c>
      <c r="EO21" s="302">
        <f>Сят!D83</f>
        <v>0</v>
      </c>
      <c r="EP21" s="302" t="e">
        <f t="shared" si="11"/>
        <v>#DIV/0!</v>
      </c>
      <c r="EQ21" s="316">
        <f>Сят!C88</f>
        <v>2</v>
      </c>
      <c r="ER21" s="316">
        <f>Сят!D88</f>
        <v>0.96699999999999997</v>
      </c>
      <c r="ES21" s="302">
        <f t="shared" si="53"/>
        <v>48.35</v>
      </c>
      <c r="ET21" s="302">
        <f>Сят!C94</f>
        <v>0</v>
      </c>
      <c r="EU21" s="302">
        <f>Сят!D94</f>
        <v>0</v>
      </c>
      <c r="EV21" s="295" t="e">
        <f t="shared" si="54"/>
        <v>#DIV/0!</v>
      </c>
      <c r="EW21" s="309">
        <f t="shared" si="12"/>
        <v>-509.50650999999925</v>
      </c>
      <c r="EX21" s="309">
        <f t="shared" si="13"/>
        <v>458.11722999999984</v>
      </c>
      <c r="EY21" s="295">
        <f t="shared" si="56"/>
        <v>-89.913911011657248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41">
        <v>9</v>
      </c>
      <c r="B22" s="342" t="s">
        <v>297</v>
      </c>
      <c r="C22" s="319">
        <f>F22+BZ22</f>
        <v>7442.3996100000004</v>
      </c>
      <c r="D22" s="320">
        <f t="shared" si="0"/>
        <v>847.35973000000001</v>
      </c>
      <c r="E22" s="305">
        <f t="shared" si="1"/>
        <v>11.385571514615297</v>
      </c>
      <c r="F22" s="296">
        <f t="shared" si="15"/>
        <v>2359</v>
      </c>
      <c r="G22" s="321">
        <f t="shared" si="3"/>
        <v>532.68883000000005</v>
      </c>
      <c r="H22" s="305">
        <f t="shared" si="16"/>
        <v>22.58112886816448</v>
      </c>
      <c r="I22" s="304">
        <f>Тор!C6</f>
        <v>117.6</v>
      </c>
      <c r="J22" s="446">
        <f>Тор!D6</f>
        <v>25.12528</v>
      </c>
      <c r="K22" s="305">
        <f t="shared" si="17"/>
        <v>21.365034013605445</v>
      </c>
      <c r="L22" s="305">
        <f>Тор!C8</f>
        <v>315.67</v>
      </c>
      <c r="M22" s="305">
        <f>Тор!D8</f>
        <v>88.883189999999999</v>
      </c>
      <c r="N22" s="305">
        <f t="shared" si="18"/>
        <v>28.156996230240438</v>
      </c>
      <c r="O22" s="305">
        <f>Тор!C9</f>
        <v>3.39</v>
      </c>
      <c r="P22" s="455">
        <f>Тор!D9</f>
        <v>0.57942000000000005</v>
      </c>
      <c r="Q22" s="305">
        <f t="shared" si="19"/>
        <v>17.092035398230092</v>
      </c>
      <c r="R22" s="305">
        <f>Тор!C10</f>
        <v>527.24</v>
      </c>
      <c r="S22" s="305">
        <f>Тор!D10</f>
        <v>124.75228</v>
      </c>
      <c r="T22" s="305">
        <f t="shared" si="20"/>
        <v>23.661383810029587</v>
      </c>
      <c r="U22" s="305">
        <f>Тор!C11</f>
        <v>0</v>
      </c>
      <c r="V22" s="322">
        <f>Тор!D11</f>
        <v>-18.359400000000001</v>
      </c>
      <c r="W22" s="305" t="e">
        <f t="shared" si="21"/>
        <v>#DIV/0!</v>
      </c>
      <c r="X22" s="304">
        <f>Тор!C13</f>
        <v>30</v>
      </c>
      <c r="Y22" s="304">
        <f>Тор!D13</f>
        <v>30.24</v>
      </c>
      <c r="Z22" s="305">
        <f t="shared" si="22"/>
        <v>100.8</v>
      </c>
      <c r="AA22" s="304">
        <f>Тор!C15</f>
        <v>250</v>
      </c>
      <c r="AB22" s="301">
        <f>Тор!D15</f>
        <v>9.1936</v>
      </c>
      <c r="AC22" s="305">
        <f t="shared" si="23"/>
        <v>3.6774399999999998</v>
      </c>
      <c r="AD22" s="304">
        <f>Тор!C16</f>
        <v>388</v>
      </c>
      <c r="AE22" s="304">
        <f>Тор!D16</f>
        <v>22.203009999999999</v>
      </c>
      <c r="AF22" s="305">
        <f t="shared" si="4"/>
        <v>5.7224252577319588</v>
      </c>
      <c r="AG22" s="305">
        <f>Тор!C18</f>
        <v>8</v>
      </c>
      <c r="AH22" s="305">
        <f>Тор!D18</f>
        <v>1.4</v>
      </c>
      <c r="AI22" s="305">
        <f t="shared" si="24"/>
        <v>17.5</v>
      </c>
      <c r="AJ22" s="305"/>
      <c r="AK22" s="305">
        <f>Тор!D20</f>
        <v>0</v>
      </c>
      <c r="AL22" s="305" t="e">
        <f t="shared" si="5"/>
        <v>#DIV/0!</v>
      </c>
      <c r="AM22" s="304">
        <v>0</v>
      </c>
      <c r="AN22" s="304">
        <v>0</v>
      </c>
      <c r="AO22" s="305" t="e">
        <f t="shared" si="6"/>
        <v>#DIV/0!</v>
      </c>
      <c r="AP22" s="304">
        <f>Тор!C27</f>
        <v>592.1</v>
      </c>
      <c r="AQ22" s="301">
        <f>Тор!D27</f>
        <v>225.66</v>
      </c>
      <c r="AR22" s="305">
        <f t="shared" si="25"/>
        <v>38.111805438270565</v>
      </c>
      <c r="AS22" s="304">
        <f>Тор!C28</f>
        <v>77</v>
      </c>
      <c r="AT22" s="301">
        <f>Тор!D28</f>
        <v>19.25976</v>
      </c>
      <c r="AU22" s="305">
        <f t="shared" si="26"/>
        <v>25.012675324675328</v>
      </c>
      <c r="AV22" s="304"/>
      <c r="AW22" s="304"/>
      <c r="AX22" s="305" t="e">
        <f t="shared" si="27"/>
        <v>#DIV/0!</v>
      </c>
      <c r="AY22" s="305">
        <f>Тор!C29</f>
        <v>50</v>
      </c>
      <c r="AZ22" s="305">
        <f>Тор!D29</f>
        <v>3.75169</v>
      </c>
      <c r="BA22" s="305">
        <f t="shared" si="28"/>
        <v>7.5033799999999999</v>
      </c>
      <c r="BB22" s="305"/>
      <c r="BC22" s="305"/>
      <c r="BD22" s="305"/>
      <c r="BE22" s="305">
        <f>Тор!C34+Тор!C33</f>
        <v>0</v>
      </c>
      <c r="BF22" s="305">
        <f>Тор!D32</f>
        <v>0</v>
      </c>
      <c r="BG22" s="305" t="e">
        <f t="shared" si="29"/>
        <v>#DIV/0!</v>
      </c>
      <c r="BH22" s="305"/>
      <c r="BI22" s="305"/>
      <c r="BJ22" s="305" t="e">
        <f t="shared" si="30"/>
        <v>#DIV/0!</v>
      </c>
      <c r="BK22" s="305"/>
      <c r="BL22" s="305"/>
      <c r="BM22" s="305"/>
      <c r="BN22" s="305">
        <f>Тор!C35</f>
        <v>0</v>
      </c>
      <c r="BO22" s="305">
        <f>Тор!D35</f>
        <v>0</v>
      </c>
      <c r="BP22" s="295" t="e">
        <f t="shared" si="31"/>
        <v>#DIV/0!</v>
      </c>
      <c r="BQ22" s="305">
        <f>Тор!C37</f>
        <v>0</v>
      </c>
      <c r="BR22" s="477">
        <f>Тор!D37</f>
        <v>0</v>
      </c>
      <c r="BS22" s="305" t="e">
        <f t="shared" si="32"/>
        <v>#DIV/0!</v>
      </c>
      <c r="BT22" s="305"/>
      <c r="BU22" s="305"/>
      <c r="BV22" s="323" t="e">
        <f t="shared" si="33"/>
        <v>#DIV/0!</v>
      </c>
      <c r="BW22" s="323"/>
      <c r="BX22" s="323"/>
      <c r="BY22" s="323" t="e">
        <f t="shared" si="34"/>
        <v>#DIV/0!</v>
      </c>
      <c r="BZ22" s="304">
        <f t="shared" si="35"/>
        <v>5083.3996100000004</v>
      </c>
      <c r="CA22" s="300">
        <f t="shared" si="36"/>
        <v>314.67089999999996</v>
      </c>
      <c r="CB22" s="305">
        <f t="shared" si="55"/>
        <v>6.1901665055208976</v>
      </c>
      <c r="CC22" s="305">
        <f>Тор!C42</f>
        <v>1079.5</v>
      </c>
      <c r="CD22" s="305">
        <f>Тор!D42</f>
        <v>269.87099999999998</v>
      </c>
      <c r="CE22" s="305">
        <f t="shared" si="37"/>
        <v>24.999629458082445</v>
      </c>
      <c r="CF22" s="305">
        <f>Тор!C43</f>
        <v>100</v>
      </c>
      <c r="CG22" s="305">
        <f>Тор!D43</f>
        <v>0</v>
      </c>
      <c r="CH22" s="305">
        <f t="shared" si="38"/>
        <v>0</v>
      </c>
      <c r="CI22" s="305">
        <f>Тор!C44</f>
        <v>3258.511</v>
      </c>
      <c r="CJ22" s="305">
        <f>Тор!D44</f>
        <v>0</v>
      </c>
      <c r="CK22" s="305">
        <f t="shared" si="7"/>
        <v>0</v>
      </c>
      <c r="CL22" s="305">
        <f>Тор!C45</f>
        <v>183.66300000000001</v>
      </c>
      <c r="CM22" s="305">
        <f>Тор!D45</f>
        <v>44.799900000000001</v>
      </c>
      <c r="CN22" s="305">
        <f t="shared" si="8"/>
        <v>24.392447036147725</v>
      </c>
      <c r="CO22" s="305">
        <f>Тор!C46</f>
        <v>293.7</v>
      </c>
      <c r="CP22" s="305">
        <f>Тор!D46</f>
        <v>0</v>
      </c>
      <c r="CQ22" s="295">
        <f t="shared" si="39"/>
        <v>0</v>
      </c>
      <c r="CR22" s="322">
        <f>Тор!C48</f>
        <v>168.02561</v>
      </c>
      <c r="CS22" s="305">
        <f>Тор!D48</f>
        <v>0</v>
      </c>
      <c r="CT22" s="305">
        <f t="shared" si="9"/>
        <v>0</v>
      </c>
      <c r="CU22" s="305"/>
      <c r="CV22" s="305">
        <f>Тор!D49</f>
        <v>0</v>
      </c>
      <c r="CW22" s="305"/>
      <c r="CX22" s="304"/>
      <c r="CY22" s="304"/>
      <c r="CZ22" s="305" t="e">
        <f t="shared" si="40"/>
        <v>#DIV/0!</v>
      </c>
      <c r="DA22" s="305"/>
      <c r="DB22" s="305"/>
      <c r="DC22" s="305"/>
      <c r="DD22" s="305"/>
      <c r="DE22" s="305"/>
      <c r="DF22" s="305"/>
      <c r="DG22" s="304">
        <f t="shared" si="41"/>
        <v>8184.6120499999997</v>
      </c>
      <c r="DH22" s="304">
        <f t="shared" si="41"/>
        <v>565.30675999999994</v>
      </c>
      <c r="DI22" s="305">
        <f t="shared" si="42"/>
        <v>6.9069463103019038</v>
      </c>
      <c r="DJ22" s="304">
        <f t="shared" si="43"/>
        <v>1182.0170000000001</v>
      </c>
      <c r="DK22" s="304">
        <f t="shared" si="43"/>
        <v>182.02544</v>
      </c>
      <c r="DL22" s="305">
        <f t="shared" si="44"/>
        <v>15.399561935234434</v>
      </c>
      <c r="DM22" s="305">
        <f>Тор!C58</f>
        <v>1145.7</v>
      </c>
      <c r="DN22" s="305">
        <f>Тор!D58</f>
        <v>182.02544</v>
      </c>
      <c r="DO22" s="305">
        <f t="shared" si="45"/>
        <v>15.887705332984201</v>
      </c>
      <c r="DP22" s="305">
        <f>Тор!C61</f>
        <v>28</v>
      </c>
      <c r="DQ22" s="305">
        <f>Тор!D61</f>
        <v>0</v>
      </c>
      <c r="DR22" s="305">
        <f t="shared" si="46"/>
        <v>0</v>
      </c>
      <c r="DS22" s="305">
        <f>Тор!C62</f>
        <v>5</v>
      </c>
      <c r="DT22" s="305">
        <f>Тор!D62</f>
        <v>0</v>
      </c>
      <c r="DU22" s="305">
        <f t="shared" si="47"/>
        <v>0</v>
      </c>
      <c r="DV22" s="305">
        <f>Тор!C63</f>
        <v>3.3170000000000002</v>
      </c>
      <c r="DW22" s="305">
        <f>Тор!D63</f>
        <v>0</v>
      </c>
      <c r="DX22" s="305">
        <f t="shared" si="48"/>
        <v>0</v>
      </c>
      <c r="DY22" s="305">
        <f>Тор!C65</f>
        <v>180.68299999999999</v>
      </c>
      <c r="DZ22" s="305">
        <f>+Тор!D64</f>
        <v>36.386510000000001</v>
      </c>
      <c r="EA22" s="305">
        <f t="shared" si="49"/>
        <v>20.138314063857695</v>
      </c>
      <c r="EB22" s="305">
        <f>Тор!C66</f>
        <v>6</v>
      </c>
      <c r="EC22" s="305">
        <f>Тор!D66</f>
        <v>0</v>
      </c>
      <c r="ED22" s="305">
        <f t="shared" si="50"/>
        <v>0</v>
      </c>
      <c r="EE22" s="304">
        <f>Тор!C72</f>
        <v>5402.6586900000002</v>
      </c>
      <c r="EF22" s="304">
        <f>Тор!D72</f>
        <v>48.056000000000004</v>
      </c>
      <c r="EG22" s="305">
        <f t="shared" si="51"/>
        <v>0.88948798651576499</v>
      </c>
      <c r="EH22" s="304">
        <f>Тор!C78</f>
        <v>261.15336000000002</v>
      </c>
      <c r="EI22" s="304">
        <f>Тор!D78</f>
        <v>16.285810000000001</v>
      </c>
      <c r="EJ22" s="305">
        <f t="shared" si="52"/>
        <v>6.2361096943190777</v>
      </c>
      <c r="EK22" s="304">
        <f>Тор!C82</f>
        <v>1150.0999999999999</v>
      </c>
      <c r="EL22" s="324">
        <f>Тор!D82</f>
        <v>282.553</v>
      </c>
      <c r="EM22" s="305">
        <f t="shared" si="10"/>
        <v>24.567689766107296</v>
      </c>
      <c r="EN22" s="305">
        <f>Тор!C84</f>
        <v>0</v>
      </c>
      <c r="EO22" s="305">
        <f>Тор!D84</f>
        <v>0</v>
      </c>
      <c r="EP22" s="305" t="e">
        <f t="shared" si="11"/>
        <v>#DIV/0!</v>
      </c>
      <c r="EQ22" s="321">
        <f>Тор!C96</f>
        <v>2</v>
      </c>
      <c r="ER22" s="321">
        <f>Тор!D96</f>
        <v>0</v>
      </c>
      <c r="ES22" s="305">
        <f t="shared" si="53"/>
        <v>0</v>
      </c>
      <c r="ET22" s="305">
        <f>Тор!C94</f>
        <v>0</v>
      </c>
      <c r="EU22" s="305">
        <f>Тор!D94</f>
        <v>0</v>
      </c>
      <c r="EV22" s="305" t="e">
        <f t="shared" si="54"/>
        <v>#DIV/0!</v>
      </c>
      <c r="EW22" s="325">
        <f t="shared" si="12"/>
        <v>-742.21243999999933</v>
      </c>
      <c r="EX22" s="325">
        <f t="shared" si="13"/>
        <v>282.05297000000007</v>
      </c>
      <c r="EY22" s="305">
        <f t="shared" si="56"/>
        <v>-38.001649500781788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8">
        <v>10</v>
      </c>
      <c r="B23" s="340" t="s">
        <v>298</v>
      </c>
      <c r="C23" s="293">
        <f t="shared" si="14"/>
        <v>5177.1485900000007</v>
      </c>
      <c r="D23" s="294">
        <f t="shared" si="0"/>
        <v>742.18320999999992</v>
      </c>
      <c r="E23" s="302">
        <f t="shared" si="1"/>
        <v>14.335752530525687</v>
      </c>
      <c r="F23" s="296">
        <f t="shared" si="15"/>
        <v>1117.5999999999999</v>
      </c>
      <c r="G23" s="296">
        <f t="shared" si="3"/>
        <v>136.85781</v>
      </c>
      <c r="H23" s="302">
        <f t="shared" si="16"/>
        <v>12.245688081603436</v>
      </c>
      <c r="I23" s="310">
        <f>Хор!C6</f>
        <v>74.3</v>
      </c>
      <c r="J23" s="446">
        <f>Хор!D6</f>
        <v>1.98447</v>
      </c>
      <c r="K23" s="302">
        <f t="shared" si="17"/>
        <v>2.6708882907133242</v>
      </c>
      <c r="L23" s="302">
        <f>Хор!C8</f>
        <v>144.09</v>
      </c>
      <c r="M23" s="302">
        <f>Хор!D8</f>
        <v>40.571309999999997</v>
      </c>
      <c r="N23" s="295">
        <f t="shared" si="18"/>
        <v>28.156922756610449</v>
      </c>
      <c r="O23" s="295">
        <f>Хор!C9</f>
        <v>1.55</v>
      </c>
      <c r="P23" s="330">
        <f>Хор!D9</f>
        <v>0.26449</v>
      </c>
      <c r="Q23" s="295">
        <f t="shared" si="19"/>
        <v>17.063870967741934</v>
      </c>
      <c r="R23" s="295">
        <f>Хор!C10</f>
        <v>240.66</v>
      </c>
      <c r="S23" s="295">
        <f>Хор!D10</f>
        <v>56.943989999999999</v>
      </c>
      <c r="T23" s="295">
        <f t="shared" si="20"/>
        <v>23.661593118922962</v>
      </c>
      <c r="U23" s="295">
        <f>Хор!C11</f>
        <v>0</v>
      </c>
      <c r="V23" s="299">
        <f>Хор!D11</f>
        <v>-8.3802800000000008</v>
      </c>
      <c r="W23" s="295" t="e">
        <f t="shared" si="21"/>
        <v>#DIV/0!</v>
      </c>
      <c r="X23" s="310">
        <f>Хор!C13</f>
        <v>5</v>
      </c>
      <c r="Y23" s="310">
        <f>Хор!D13</f>
        <v>1.1193</v>
      </c>
      <c r="Z23" s="302">
        <f t="shared" si="22"/>
        <v>22.385999999999999</v>
      </c>
      <c r="AA23" s="310">
        <f>Хор!C15</f>
        <v>190</v>
      </c>
      <c r="AB23" s="301">
        <f>Хор!D15</f>
        <v>3.8753700000000002</v>
      </c>
      <c r="AC23" s="302">
        <f t="shared" si="23"/>
        <v>2.0396684210526317</v>
      </c>
      <c r="AD23" s="310">
        <f>Хор!C16</f>
        <v>380</v>
      </c>
      <c r="AE23" s="310">
        <f>Хор!D16</f>
        <v>33.295859999999998</v>
      </c>
      <c r="AF23" s="302">
        <f t="shared" si="4"/>
        <v>8.7620684210526303</v>
      </c>
      <c r="AG23" s="302">
        <f>Хор!C18</f>
        <v>5</v>
      </c>
      <c r="AH23" s="302">
        <f>Хор!D18</f>
        <v>1.85</v>
      </c>
      <c r="AI23" s="302">
        <f t="shared" si="24"/>
        <v>37</v>
      </c>
      <c r="AJ23" s="302"/>
      <c r="AK23" s="302"/>
      <c r="AL23" s="302" t="e">
        <f t="shared" si="5"/>
        <v>#DIV/0!</v>
      </c>
      <c r="AM23" s="310">
        <v>0</v>
      </c>
      <c r="AN23" s="310">
        <v>0</v>
      </c>
      <c r="AO23" s="302" t="e">
        <f t="shared" si="6"/>
        <v>#DIV/0!</v>
      </c>
      <c r="AP23" s="310">
        <f>Хор!C27</f>
        <v>77</v>
      </c>
      <c r="AQ23" s="311">
        <f>Хор!D27</f>
        <v>5.3333000000000004</v>
      </c>
      <c r="AR23" s="302">
        <f t="shared" si="25"/>
        <v>6.9263636363636376</v>
      </c>
      <c r="AS23" s="304">
        <f>Хор!C28</f>
        <v>0</v>
      </c>
      <c r="AT23" s="311">
        <f>Хор!D28</f>
        <v>0</v>
      </c>
      <c r="AU23" s="302" t="e">
        <f t="shared" si="26"/>
        <v>#DIV/0!</v>
      </c>
      <c r="AV23" s="310"/>
      <c r="AW23" s="310"/>
      <c r="AX23" s="302" t="e">
        <f t="shared" si="27"/>
        <v>#DIV/0!</v>
      </c>
      <c r="AY23" s="302">
        <f>Хор!C29</f>
        <v>0</v>
      </c>
      <c r="AZ23" s="305">
        <f>Хор!D29</f>
        <v>0</v>
      </c>
      <c r="BA23" s="302" t="e">
        <f t="shared" si="28"/>
        <v>#DIV/0!</v>
      </c>
      <c r="BB23" s="302"/>
      <c r="BC23" s="302"/>
      <c r="BD23" s="302"/>
      <c r="BE23" s="302">
        <f>Хор!C33</f>
        <v>0</v>
      </c>
      <c r="BF23" s="302">
        <f>Хор!D33</f>
        <v>0</v>
      </c>
      <c r="BG23" s="302" t="e">
        <f t="shared" si="29"/>
        <v>#DIV/0!</v>
      </c>
      <c r="BH23" s="302"/>
      <c r="BI23" s="302"/>
      <c r="BJ23" s="302" t="e">
        <f t="shared" si="30"/>
        <v>#DIV/0!</v>
      </c>
      <c r="BK23" s="302"/>
      <c r="BL23" s="302"/>
      <c r="BM23" s="302"/>
      <c r="BN23" s="302"/>
      <c r="BO23" s="302"/>
      <c r="BP23" s="295" t="e">
        <f t="shared" si="31"/>
        <v>#DIV/0!</v>
      </c>
      <c r="BQ23" s="302">
        <f>Хор!C34</f>
        <v>0</v>
      </c>
      <c r="BR23" s="476">
        <f>Хор!D34</f>
        <v>0</v>
      </c>
      <c r="BS23" s="302" t="e">
        <f t="shared" si="32"/>
        <v>#DIV/0!</v>
      </c>
      <c r="BT23" s="302"/>
      <c r="BU23" s="302"/>
      <c r="BV23" s="312" t="e">
        <f t="shared" si="33"/>
        <v>#DIV/0!</v>
      </c>
      <c r="BW23" s="312"/>
      <c r="BX23" s="312"/>
      <c r="BY23" s="312" t="e">
        <f t="shared" si="34"/>
        <v>#DIV/0!</v>
      </c>
      <c r="BZ23" s="300">
        <f t="shared" si="35"/>
        <v>4059.5485900000003</v>
      </c>
      <c r="CA23" s="300">
        <f t="shared" si="36"/>
        <v>605.32539999999995</v>
      </c>
      <c r="CB23" s="302">
        <f t="shared" si="55"/>
        <v>14.911150503066153</v>
      </c>
      <c r="CC23" s="302">
        <f>Хор!C39</f>
        <v>1358.5</v>
      </c>
      <c r="CD23" s="302">
        <f>Хор!D39</f>
        <v>339.61799999999999</v>
      </c>
      <c r="CE23" s="302">
        <f t="shared" si="37"/>
        <v>24.999484725800514</v>
      </c>
      <c r="CF23" s="302">
        <f>Хор!C41</f>
        <v>466</v>
      </c>
      <c r="CG23" s="302">
        <f>Хор!D41</f>
        <v>0</v>
      </c>
      <c r="CH23" s="302">
        <f t="shared" si="38"/>
        <v>0</v>
      </c>
      <c r="CI23" s="302">
        <f>Хор!C42</f>
        <v>2021.97</v>
      </c>
      <c r="CJ23" s="302">
        <f>Хор!D42</f>
        <v>123.307</v>
      </c>
      <c r="CK23" s="302">
        <f t="shared" si="7"/>
        <v>6.0983595206654897</v>
      </c>
      <c r="CL23" s="302">
        <f>Хор!C43</f>
        <v>93.322000000000003</v>
      </c>
      <c r="CM23" s="302">
        <f>Хор!D43</f>
        <v>22.400400000000001</v>
      </c>
      <c r="CN23" s="302">
        <f t="shared" si="8"/>
        <v>24.003343263110523</v>
      </c>
      <c r="CO23" s="302">
        <f>Хор!C44</f>
        <v>0</v>
      </c>
      <c r="CP23" s="302">
        <f>Хор!D44</f>
        <v>0</v>
      </c>
      <c r="CQ23" s="295" t="e">
        <f t="shared" si="39"/>
        <v>#DIV/0!</v>
      </c>
      <c r="CR23" s="314">
        <f>Хор!C45</f>
        <v>119.75659</v>
      </c>
      <c r="CS23" s="302">
        <f>Хор!D45</f>
        <v>120</v>
      </c>
      <c r="CT23" s="302">
        <f t="shared" si="9"/>
        <v>100.20325395036716</v>
      </c>
      <c r="CU23" s="302"/>
      <c r="CV23" s="302"/>
      <c r="CW23" s="302"/>
      <c r="CX23" s="310"/>
      <c r="CY23" s="310"/>
      <c r="CZ23" s="302" t="e">
        <f t="shared" si="40"/>
        <v>#DIV/0!</v>
      </c>
      <c r="DA23" s="302"/>
      <c r="DB23" s="302"/>
      <c r="DC23" s="302"/>
      <c r="DD23" s="302"/>
      <c r="DE23" s="302">
        <f>Хор!D48</f>
        <v>0</v>
      </c>
      <c r="DF23" s="302"/>
      <c r="DG23" s="304">
        <f t="shared" si="41"/>
        <v>5694.8088399999997</v>
      </c>
      <c r="DH23" s="304">
        <f t="shared" si="41"/>
        <v>578.31163000000004</v>
      </c>
      <c r="DI23" s="302">
        <f t="shared" si="42"/>
        <v>10.155066592191355</v>
      </c>
      <c r="DJ23" s="310">
        <f t="shared" si="43"/>
        <v>1050.9929999999999</v>
      </c>
      <c r="DK23" s="310">
        <f t="shared" si="43"/>
        <v>180.82956999999999</v>
      </c>
      <c r="DL23" s="302">
        <f t="shared" si="44"/>
        <v>17.205592235152849</v>
      </c>
      <c r="DM23" s="302">
        <f>Хор!C56</f>
        <v>1019.8</v>
      </c>
      <c r="DN23" s="302">
        <f>Хор!D56</f>
        <v>180.82956999999999</v>
      </c>
      <c r="DO23" s="302">
        <f t="shared" si="45"/>
        <v>17.731866052167092</v>
      </c>
      <c r="DP23" s="302">
        <f>Хор!C59</f>
        <v>19</v>
      </c>
      <c r="DQ23" s="302">
        <f>Хор!D59</f>
        <v>0</v>
      </c>
      <c r="DR23" s="302">
        <f t="shared" si="46"/>
        <v>0</v>
      </c>
      <c r="DS23" s="302">
        <f>Хор!C60</f>
        <v>5</v>
      </c>
      <c r="DT23" s="302">
        <f>Хор!D60</f>
        <v>0</v>
      </c>
      <c r="DU23" s="302">
        <f t="shared" si="47"/>
        <v>0</v>
      </c>
      <c r="DV23" s="302">
        <f>Хор!C61</f>
        <v>7.1929999999999996</v>
      </c>
      <c r="DW23" s="302">
        <f>Хор!D61</f>
        <v>0</v>
      </c>
      <c r="DX23" s="302">
        <f t="shared" si="48"/>
        <v>0</v>
      </c>
      <c r="DY23" s="302">
        <f>Хор!C63</f>
        <v>90.341999999999999</v>
      </c>
      <c r="DZ23" s="302">
        <f>Хор!D63</f>
        <v>17.79326</v>
      </c>
      <c r="EA23" s="302">
        <f t="shared" si="49"/>
        <v>19.695446193354144</v>
      </c>
      <c r="EB23" s="302">
        <f>Хор!C64</f>
        <v>6</v>
      </c>
      <c r="EC23" s="302">
        <f>Хор!D64</f>
        <v>0</v>
      </c>
      <c r="ED23" s="302">
        <f t="shared" si="50"/>
        <v>0</v>
      </c>
      <c r="EE23" s="310">
        <f>Хор!C70</f>
        <v>3038.7373399999997</v>
      </c>
      <c r="EF23" s="310">
        <f>Хор!D70</f>
        <v>141.00800000000001</v>
      </c>
      <c r="EG23" s="302">
        <f t="shared" si="51"/>
        <v>4.640348415240128</v>
      </c>
      <c r="EH23" s="310">
        <f>Хор!C75</f>
        <v>462.93650000000002</v>
      </c>
      <c r="EI23" s="310">
        <f>Хор!D75</f>
        <v>0</v>
      </c>
      <c r="EJ23" s="302">
        <f t="shared" si="52"/>
        <v>0</v>
      </c>
      <c r="EK23" s="310">
        <f>Хор!C79</f>
        <v>1043.8</v>
      </c>
      <c r="EL23" s="315">
        <f>Хор!D79</f>
        <v>238.6808</v>
      </c>
      <c r="EM23" s="302">
        <f t="shared" si="10"/>
        <v>22.866526154435718</v>
      </c>
      <c r="EN23" s="302">
        <f>Хор!C81</f>
        <v>0</v>
      </c>
      <c r="EO23" s="302">
        <f>Хор!D81</f>
        <v>0</v>
      </c>
      <c r="EP23" s="302" t="e">
        <f t="shared" si="11"/>
        <v>#DIV/0!</v>
      </c>
      <c r="EQ23" s="316">
        <f>Хор!C86</f>
        <v>2</v>
      </c>
      <c r="ER23" s="316">
        <f>Хор!D86</f>
        <v>0</v>
      </c>
      <c r="ES23" s="302">
        <f t="shared" si="53"/>
        <v>0</v>
      </c>
      <c r="ET23" s="302">
        <f>Хор!C92</f>
        <v>0</v>
      </c>
      <c r="EU23" s="302">
        <f>Хор!D92</f>
        <v>0</v>
      </c>
      <c r="EV23" s="295" t="e">
        <f t="shared" si="54"/>
        <v>#DIV/0!</v>
      </c>
      <c r="EW23" s="309">
        <f t="shared" si="12"/>
        <v>-517.660249999999</v>
      </c>
      <c r="EX23" s="309">
        <f t="shared" si="13"/>
        <v>163.87157999999988</v>
      </c>
      <c r="EY23" s="295">
        <f t="shared" si="56"/>
        <v>-31.656203079143165</v>
      </c>
      <c r="EZ23" s="164"/>
      <c r="FA23" s="165"/>
      <c r="FC23" s="165"/>
    </row>
    <row r="24" spans="1:170" s="253" customFormat="1" ht="25.5" customHeight="1">
      <c r="A24" s="343">
        <v>11</v>
      </c>
      <c r="B24" s="340" t="s">
        <v>299</v>
      </c>
      <c r="C24" s="317">
        <f t="shared" si="14"/>
        <v>10160.737800000001</v>
      </c>
      <c r="D24" s="294">
        <f t="shared" si="0"/>
        <v>883.83954999999992</v>
      </c>
      <c r="E24" s="302">
        <f t="shared" si="1"/>
        <v>8.6985764951045184</v>
      </c>
      <c r="F24" s="296">
        <f t="shared" si="15"/>
        <v>1216.5999999999999</v>
      </c>
      <c r="G24" s="316">
        <f t="shared" si="3"/>
        <v>215.21725000000001</v>
      </c>
      <c r="H24" s="302">
        <f t="shared" si="16"/>
        <v>17.690058359362158</v>
      </c>
      <c r="I24" s="310">
        <f>Чум!C6</f>
        <v>106.5</v>
      </c>
      <c r="J24" s="446">
        <f>Чум!D6</f>
        <v>20.325659999999999</v>
      </c>
      <c r="K24" s="302">
        <f t="shared" si="17"/>
        <v>19.08512676056338</v>
      </c>
      <c r="L24" s="302">
        <f>Чум!C8</f>
        <v>137.44999999999999</v>
      </c>
      <c r="M24" s="302">
        <f>Чум!D8</f>
        <v>38.702889999999996</v>
      </c>
      <c r="N24" s="302">
        <f t="shared" si="18"/>
        <v>28.157795562022553</v>
      </c>
      <c r="O24" s="302">
        <f>Чум!C9</f>
        <v>1.47</v>
      </c>
      <c r="P24" s="456">
        <f>Чум!D9</f>
        <v>0.25230999999999998</v>
      </c>
      <c r="Q24" s="302">
        <f t="shared" si="19"/>
        <v>17.163945578231292</v>
      </c>
      <c r="R24" s="302">
        <f>Чум!C10</f>
        <v>229.58</v>
      </c>
      <c r="S24" s="302">
        <f>Чум!D10</f>
        <v>54.321570000000001</v>
      </c>
      <c r="T24" s="302">
        <f t="shared" si="20"/>
        <v>23.661281470511366</v>
      </c>
      <c r="U24" s="302">
        <f>Чум!C11</f>
        <v>0</v>
      </c>
      <c r="V24" s="314">
        <f>Чум!D11</f>
        <v>-7.9943600000000004</v>
      </c>
      <c r="W24" s="302" t="e">
        <f t="shared" si="21"/>
        <v>#DIV/0!</v>
      </c>
      <c r="X24" s="310">
        <f>Чум!C13</f>
        <v>70</v>
      </c>
      <c r="Y24" s="310">
        <f>Чум!D13</f>
        <v>39.952500000000001</v>
      </c>
      <c r="Z24" s="302">
        <f t="shared" si="22"/>
        <v>57.074999999999996</v>
      </c>
      <c r="AA24" s="310">
        <f>Чум!C15</f>
        <v>95</v>
      </c>
      <c r="AB24" s="301">
        <f>Чум!D15</f>
        <v>2.2241200000000001</v>
      </c>
      <c r="AC24" s="302">
        <f t="shared" si="23"/>
        <v>2.3411789473684212</v>
      </c>
      <c r="AD24" s="310">
        <f>Чум!C16</f>
        <v>451</v>
      </c>
      <c r="AE24" s="310">
        <f>Чум!D16</f>
        <v>64.61806</v>
      </c>
      <c r="AF24" s="302">
        <f t="shared" si="4"/>
        <v>14.327729490022174</v>
      </c>
      <c r="AG24" s="302">
        <f>Чум!C18</f>
        <v>5</v>
      </c>
      <c r="AH24" s="302">
        <f>Чум!D18</f>
        <v>0.7</v>
      </c>
      <c r="AI24" s="302">
        <f t="shared" si="24"/>
        <v>13.999999999999998</v>
      </c>
      <c r="AJ24" s="302">
        <f>Чум!C22</f>
        <v>0</v>
      </c>
      <c r="AK24" s="302">
        <f>Чум!D20</f>
        <v>0</v>
      </c>
      <c r="AL24" s="302" t="e">
        <f>AK24/AJ24*100</f>
        <v>#DIV/0!</v>
      </c>
      <c r="AM24" s="310">
        <v>0</v>
      </c>
      <c r="AN24" s="310"/>
      <c r="AO24" s="302" t="e">
        <f t="shared" si="6"/>
        <v>#DIV/0!</v>
      </c>
      <c r="AP24" s="310">
        <f>Чум!C27</f>
        <v>85.6</v>
      </c>
      <c r="AQ24" s="311">
        <f>Чум!D27</f>
        <v>0</v>
      </c>
      <c r="AR24" s="302">
        <f t="shared" si="25"/>
        <v>0</v>
      </c>
      <c r="AS24" s="310">
        <f>Чум!C28</f>
        <v>0</v>
      </c>
      <c r="AT24" s="311">
        <f>Чум!D28</f>
        <v>0</v>
      </c>
      <c r="AU24" s="302" t="e">
        <f t="shared" si="26"/>
        <v>#DIV/0!</v>
      </c>
      <c r="AV24" s="310"/>
      <c r="AW24" s="310"/>
      <c r="AX24" s="302" t="e">
        <f t="shared" si="27"/>
        <v>#DIV/0!</v>
      </c>
      <c r="AY24" s="302">
        <f>Чум!C30</f>
        <v>35</v>
      </c>
      <c r="AZ24" s="305">
        <f>Чум!D30</f>
        <v>2.1145</v>
      </c>
      <c r="BA24" s="302">
        <f t="shared" si="28"/>
        <v>6.0414285714285718</v>
      </c>
      <c r="BB24" s="302"/>
      <c r="BC24" s="302"/>
      <c r="BD24" s="302"/>
      <c r="BE24" s="302">
        <f>Чум!C33</f>
        <v>0</v>
      </c>
      <c r="BF24" s="302">
        <f>Чум!D33</f>
        <v>0</v>
      </c>
      <c r="BG24" s="302" t="e">
        <f t="shared" si="29"/>
        <v>#DIV/0!</v>
      </c>
      <c r="BH24" s="302"/>
      <c r="BI24" s="302"/>
      <c r="BJ24" s="302" t="e">
        <f t="shared" si="30"/>
        <v>#DIV/0!</v>
      </c>
      <c r="BK24" s="302"/>
      <c r="BL24" s="302"/>
      <c r="BM24" s="302"/>
      <c r="BN24" s="302"/>
      <c r="BO24" s="302">
        <f>Чум!D34</f>
        <v>0</v>
      </c>
      <c r="BP24" s="295" t="e">
        <f t="shared" si="31"/>
        <v>#DIV/0!</v>
      </c>
      <c r="BQ24" s="302">
        <f>Чум!C37</f>
        <v>0</v>
      </c>
      <c r="BR24" s="476">
        <f>Чум!D37</f>
        <v>0</v>
      </c>
      <c r="BS24" s="302" t="e">
        <f t="shared" si="32"/>
        <v>#DIV/0!</v>
      </c>
      <c r="BT24" s="302"/>
      <c r="BU24" s="302"/>
      <c r="BV24" s="312" t="e">
        <f t="shared" si="33"/>
        <v>#DIV/0!</v>
      </c>
      <c r="BW24" s="312"/>
      <c r="BX24" s="312"/>
      <c r="BY24" s="312" t="e">
        <f t="shared" si="34"/>
        <v>#DIV/0!</v>
      </c>
      <c r="BZ24" s="310">
        <f t="shared" si="35"/>
        <v>8944.1378000000004</v>
      </c>
      <c r="CA24" s="310">
        <f t="shared" si="36"/>
        <v>668.62229999999988</v>
      </c>
      <c r="CB24" s="302">
        <f t="shared" si="55"/>
        <v>7.4755366582120395</v>
      </c>
      <c r="CC24" s="302">
        <f>Чум!C42</f>
        <v>2064.4</v>
      </c>
      <c r="CD24" s="302">
        <f>Чум!D42</f>
        <v>516.09119999999996</v>
      </c>
      <c r="CE24" s="302">
        <f t="shared" si="37"/>
        <v>24.999573726022088</v>
      </c>
      <c r="CF24" s="302">
        <f>Чум!C43</f>
        <v>0</v>
      </c>
      <c r="CG24" s="302">
        <f>Чум!D43</f>
        <v>0</v>
      </c>
      <c r="CH24" s="302" t="e">
        <f t="shared" si="38"/>
        <v>#DIV/0!</v>
      </c>
      <c r="CI24" s="302">
        <f>Чум!C44</f>
        <v>2171.4769999999999</v>
      </c>
      <c r="CJ24" s="302">
        <f>Чум!D44</f>
        <v>130.131</v>
      </c>
      <c r="CK24" s="302">
        <f t="shared" si="7"/>
        <v>5.9927413460976107</v>
      </c>
      <c r="CL24" s="302">
        <f>Чум!C45</f>
        <v>94.522999999999996</v>
      </c>
      <c r="CM24" s="302">
        <f>Чум!D45</f>
        <v>22.400099999999998</v>
      </c>
      <c r="CN24" s="302">
        <f t="shared" si="8"/>
        <v>23.698041746453242</v>
      </c>
      <c r="CO24" s="302">
        <f>Чум!C46</f>
        <v>4613.7377999999999</v>
      </c>
      <c r="CP24" s="302">
        <f>Чум!D46</f>
        <v>0</v>
      </c>
      <c r="CQ24" s="295">
        <f t="shared" si="39"/>
        <v>0</v>
      </c>
      <c r="CR24" s="314">
        <f>Чум!C50</f>
        <v>0</v>
      </c>
      <c r="CS24" s="302">
        <f>Чум!D50</f>
        <v>0</v>
      </c>
      <c r="CT24" s="302" t="e">
        <f t="shared" si="9"/>
        <v>#DIV/0!</v>
      </c>
      <c r="CU24" s="302"/>
      <c r="CV24" s="302"/>
      <c r="CW24" s="302"/>
      <c r="CX24" s="310"/>
      <c r="CY24" s="310"/>
      <c r="CZ24" s="302" t="e">
        <f t="shared" si="40"/>
        <v>#DIV/0!</v>
      </c>
      <c r="DA24" s="302"/>
      <c r="DB24" s="302"/>
      <c r="DC24" s="302"/>
      <c r="DD24" s="302"/>
      <c r="DE24" s="302"/>
      <c r="DF24" s="302"/>
      <c r="DG24" s="304">
        <f t="shared" si="41"/>
        <v>10584.308559999999</v>
      </c>
      <c r="DH24" s="304">
        <f t="shared" si="41"/>
        <v>802.15962000000013</v>
      </c>
      <c r="DI24" s="302">
        <f t="shared" si="42"/>
        <v>7.5787626130960062</v>
      </c>
      <c r="DJ24" s="310">
        <f t="shared" si="43"/>
        <v>1356.1200000000001</v>
      </c>
      <c r="DK24" s="310">
        <f t="shared" si="43"/>
        <v>266.87756999999999</v>
      </c>
      <c r="DL24" s="302">
        <f t="shared" si="44"/>
        <v>19.679495177417923</v>
      </c>
      <c r="DM24" s="302">
        <f>Чум!C58</f>
        <v>1320.9</v>
      </c>
      <c r="DN24" s="302">
        <f>Чум!D58</f>
        <v>266.87756999999999</v>
      </c>
      <c r="DO24" s="302">
        <f t="shared" si="45"/>
        <v>20.204222121280942</v>
      </c>
      <c r="DP24" s="302">
        <f>Чум!C61</f>
        <v>27</v>
      </c>
      <c r="DQ24" s="302">
        <f>Чум!D61</f>
        <v>0</v>
      </c>
      <c r="DR24" s="302">
        <f t="shared" si="46"/>
        <v>0</v>
      </c>
      <c r="DS24" s="302">
        <f>Чум!C62</f>
        <v>5</v>
      </c>
      <c r="DT24" s="302">
        <f>Чум!D62</f>
        <v>0</v>
      </c>
      <c r="DU24" s="302">
        <f t="shared" si="47"/>
        <v>0</v>
      </c>
      <c r="DV24" s="302">
        <f>Чум!C63</f>
        <v>3.22</v>
      </c>
      <c r="DW24" s="302">
        <f>Чум!D63</f>
        <v>0</v>
      </c>
      <c r="DX24" s="302">
        <f t="shared" si="48"/>
        <v>0</v>
      </c>
      <c r="DY24" s="302">
        <f>Чум!C65</f>
        <v>90.343000000000004</v>
      </c>
      <c r="DZ24" s="302">
        <f>Чум!D65</f>
        <v>17.620609999999999</v>
      </c>
      <c r="EA24" s="302">
        <f t="shared" si="49"/>
        <v>19.50412317501079</v>
      </c>
      <c r="EB24" s="302">
        <f>Чум!C66</f>
        <v>6</v>
      </c>
      <c r="EC24" s="302">
        <f>Чум!D66</f>
        <v>0.6</v>
      </c>
      <c r="ED24" s="302">
        <f t="shared" si="50"/>
        <v>10</v>
      </c>
      <c r="EE24" s="310">
        <f>Чум!C72</f>
        <v>4271.9687599999997</v>
      </c>
      <c r="EF24" s="310">
        <f>Чум!D72</f>
        <v>206.59676000000002</v>
      </c>
      <c r="EG24" s="302">
        <f t="shared" si="51"/>
        <v>4.8361018445275343</v>
      </c>
      <c r="EH24" s="310">
        <f>Чум!C77</f>
        <v>3827.4767999999999</v>
      </c>
      <c r="EI24" s="310">
        <f>Чум!D77</f>
        <v>51.54468</v>
      </c>
      <c r="EJ24" s="302">
        <f t="shared" si="52"/>
        <v>1.3467013046297236</v>
      </c>
      <c r="EK24" s="310">
        <f>Чум!C81</f>
        <v>1022.4</v>
      </c>
      <c r="EL24" s="315">
        <f>Чум!D81</f>
        <v>255.6</v>
      </c>
      <c r="EM24" s="302">
        <f t="shared" si="10"/>
        <v>25</v>
      </c>
      <c r="EN24" s="302">
        <f>Чум!C83</f>
        <v>0</v>
      </c>
      <c r="EO24" s="302">
        <f>Чум!D83</f>
        <v>0</v>
      </c>
      <c r="EP24" s="302" t="e">
        <f t="shared" si="11"/>
        <v>#DIV/0!</v>
      </c>
      <c r="EQ24" s="316">
        <f>Чум!C88</f>
        <v>10</v>
      </c>
      <c r="ER24" s="316">
        <f>Чум!D88</f>
        <v>3.32</v>
      </c>
      <c r="ES24" s="302">
        <f t="shared" si="53"/>
        <v>33.199999999999996</v>
      </c>
      <c r="ET24" s="302">
        <f>Чум!C94</f>
        <v>0</v>
      </c>
      <c r="EU24" s="302">
        <f>Чум!D94</f>
        <v>0</v>
      </c>
      <c r="EV24" s="302" t="e">
        <f t="shared" si="54"/>
        <v>#DIV/0!</v>
      </c>
      <c r="EW24" s="326">
        <f t="shared" si="12"/>
        <v>-423.5707599999987</v>
      </c>
      <c r="EX24" s="326">
        <f t="shared" si="13"/>
        <v>81.679929999999786</v>
      </c>
      <c r="EY24" s="302">
        <f t="shared" si="56"/>
        <v>-19.283656407255314</v>
      </c>
      <c r="EZ24" s="251"/>
      <c r="FA24" s="252"/>
      <c r="FC24" s="252"/>
    </row>
    <row r="25" spans="1:170" s="174" customFormat="1" ht="22.5" customHeight="1">
      <c r="A25" s="341">
        <v>12</v>
      </c>
      <c r="B25" s="342" t="s">
        <v>300</v>
      </c>
      <c r="C25" s="319">
        <f t="shared" si="14"/>
        <v>5581.9890000000005</v>
      </c>
      <c r="D25" s="320">
        <f t="shared" si="0"/>
        <v>738.83708999999999</v>
      </c>
      <c r="E25" s="305">
        <f t="shared" si="1"/>
        <v>13.236090038873238</v>
      </c>
      <c r="F25" s="296">
        <f t="shared" si="15"/>
        <v>1011.4300000000001</v>
      </c>
      <c r="G25" s="321">
        <f t="shared" si="3"/>
        <v>201.31999000000002</v>
      </c>
      <c r="H25" s="305">
        <f t="shared" si="16"/>
        <v>19.904490671623346</v>
      </c>
      <c r="I25" s="304">
        <f>Шать!C6</f>
        <v>44.3</v>
      </c>
      <c r="J25" s="446">
        <f>Шать!D6</f>
        <v>8.6143699999999992</v>
      </c>
      <c r="K25" s="305">
        <f t="shared" si="17"/>
        <v>19.445530474040631</v>
      </c>
      <c r="L25" s="305">
        <f>Шать!C8</f>
        <v>140.30000000000001</v>
      </c>
      <c r="M25" s="305">
        <f>Шать!D8</f>
        <v>39.503639999999997</v>
      </c>
      <c r="N25" s="305">
        <f t="shared" si="18"/>
        <v>28.156550249465429</v>
      </c>
      <c r="O25" s="305">
        <f>Шать!C9</f>
        <v>1.5</v>
      </c>
      <c r="P25" s="455">
        <f>Шать!D9</f>
        <v>0.25752999999999998</v>
      </c>
      <c r="Q25" s="305">
        <f t="shared" si="19"/>
        <v>17.168666666666667</v>
      </c>
      <c r="R25" s="305">
        <f>Шать!C10</f>
        <v>234.33</v>
      </c>
      <c r="S25" s="305">
        <f>Шать!D10</f>
        <v>55.445459999999997</v>
      </c>
      <c r="T25" s="305">
        <f t="shared" si="20"/>
        <v>23.66127256433235</v>
      </c>
      <c r="U25" s="305">
        <f>Шать!C11</f>
        <v>0</v>
      </c>
      <c r="V25" s="322">
        <f>Шать!D11</f>
        <v>-8.1597399999999993</v>
      </c>
      <c r="W25" s="305" t="e">
        <f t="shared" si="21"/>
        <v>#DIV/0!</v>
      </c>
      <c r="X25" s="304">
        <f>Шать!C13</f>
        <v>50</v>
      </c>
      <c r="Y25" s="304">
        <f>Шать!D13</f>
        <v>0</v>
      </c>
      <c r="Z25" s="305">
        <f t="shared" si="22"/>
        <v>0</v>
      </c>
      <c r="AA25" s="304">
        <f>Шать!C15</f>
        <v>65</v>
      </c>
      <c r="AB25" s="301">
        <f>Шать!D15</f>
        <v>3.9693100000000001</v>
      </c>
      <c r="AC25" s="305">
        <f t="shared" si="23"/>
        <v>6.1066307692307698</v>
      </c>
      <c r="AD25" s="304">
        <f>Шать!C16</f>
        <v>274</v>
      </c>
      <c r="AE25" s="304">
        <f>Шать!D16</f>
        <v>22.970949999999998</v>
      </c>
      <c r="AF25" s="305">
        <f t="shared" si="4"/>
        <v>8.383558394160584</v>
      </c>
      <c r="AG25" s="305">
        <f>Шать!C18</f>
        <v>3</v>
      </c>
      <c r="AH25" s="305">
        <f>Шать!D18</f>
        <v>0.4</v>
      </c>
      <c r="AI25" s="305">
        <f t="shared" si="24"/>
        <v>13.333333333333334</v>
      </c>
      <c r="AJ25" s="305"/>
      <c r="AK25" s="305"/>
      <c r="AL25" s="305" t="e">
        <f>AJ25/AK25*100</f>
        <v>#DIV/0!</v>
      </c>
      <c r="AM25" s="304">
        <v>0</v>
      </c>
      <c r="AN25" s="304">
        <f>0</f>
        <v>0</v>
      </c>
      <c r="AO25" s="305" t="e">
        <f t="shared" si="6"/>
        <v>#DIV/0!</v>
      </c>
      <c r="AP25" s="304">
        <f>Шать!C27</f>
        <v>153</v>
      </c>
      <c r="AQ25" s="311">
        <f>Шать!D27</f>
        <v>65.611800000000002</v>
      </c>
      <c r="AR25" s="305">
        <f t="shared" si="25"/>
        <v>42.883529411764712</v>
      </c>
      <c r="AS25" s="304">
        <f>Шать!C28</f>
        <v>26</v>
      </c>
      <c r="AT25" s="301">
        <f>Шать!D28</f>
        <v>6.5027999999999997</v>
      </c>
      <c r="AU25" s="305">
        <f t="shared" si="26"/>
        <v>25.010769230769231</v>
      </c>
      <c r="AV25" s="304"/>
      <c r="AW25" s="304"/>
      <c r="AX25" s="305" t="e">
        <f t="shared" si="27"/>
        <v>#DIV/0!</v>
      </c>
      <c r="AY25" s="305">
        <f>Шать!C29</f>
        <v>20</v>
      </c>
      <c r="AZ25" s="305">
        <f>Шать!D29</f>
        <v>6.2038700000000002</v>
      </c>
      <c r="BA25" s="305">
        <f t="shared" si="28"/>
        <v>31.019350000000003</v>
      </c>
      <c r="BB25" s="305"/>
      <c r="BC25" s="305"/>
      <c r="BD25" s="305"/>
      <c r="BE25" s="305">
        <f>Шать!C33</f>
        <v>0</v>
      </c>
      <c r="BF25" s="305">
        <f>Шать!D33</f>
        <v>0</v>
      </c>
      <c r="BG25" s="305" t="e">
        <f t="shared" si="29"/>
        <v>#DIV/0!</v>
      </c>
      <c r="BH25" s="305"/>
      <c r="BI25" s="305"/>
      <c r="BJ25" s="305" t="e">
        <f t="shared" si="30"/>
        <v>#DIV/0!</v>
      </c>
      <c r="BK25" s="305"/>
      <c r="BL25" s="305"/>
      <c r="BM25" s="305"/>
      <c r="BN25" s="305">
        <f>Шать!C34</f>
        <v>0</v>
      </c>
      <c r="BO25" s="305">
        <f>Шать!D34</f>
        <v>0</v>
      </c>
      <c r="BP25" s="295" t="e">
        <f t="shared" si="31"/>
        <v>#DIV/0!</v>
      </c>
      <c r="BQ25" s="305">
        <f>Шать!C37</f>
        <v>0</v>
      </c>
      <c r="BR25" s="477">
        <v>0</v>
      </c>
      <c r="BS25" s="305" t="e">
        <f t="shared" si="32"/>
        <v>#DIV/0!</v>
      </c>
      <c r="BT25" s="305"/>
      <c r="BU25" s="305"/>
      <c r="BV25" s="323" t="e">
        <f t="shared" si="33"/>
        <v>#DIV/0!</v>
      </c>
      <c r="BW25" s="323"/>
      <c r="BX25" s="323"/>
      <c r="BY25" s="323" t="e">
        <f t="shared" si="34"/>
        <v>#DIV/0!</v>
      </c>
      <c r="BZ25" s="304">
        <f t="shared" si="35"/>
        <v>4570.5590000000002</v>
      </c>
      <c r="CA25" s="300">
        <f t="shared" si="36"/>
        <v>537.51710000000003</v>
      </c>
      <c r="CB25" s="305">
        <f t="shared" si="55"/>
        <v>11.760423615579626</v>
      </c>
      <c r="CC25" s="305">
        <f>Шать!C42</f>
        <v>1263.2</v>
      </c>
      <c r="CD25" s="305">
        <f>Шать!D42</f>
        <v>315.79500000000002</v>
      </c>
      <c r="CE25" s="305">
        <f t="shared" si="37"/>
        <v>24.999604179860672</v>
      </c>
      <c r="CF25" s="305">
        <f>Шать!C43</f>
        <v>300</v>
      </c>
      <c r="CG25" s="305">
        <f>Шать!D43</f>
        <v>0</v>
      </c>
      <c r="CH25" s="305">
        <f t="shared" si="38"/>
        <v>0</v>
      </c>
      <c r="CI25" s="305">
        <f>Шать!C44</f>
        <v>2830.8270000000002</v>
      </c>
      <c r="CJ25" s="305">
        <f>Шать!D44</f>
        <v>116.72199999999999</v>
      </c>
      <c r="CK25" s="305">
        <f t="shared" si="7"/>
        <v>4.1232473761201227</v>
      </c>
      <c r="CL25" s="305">
        <f>Шать!C45</f>
        <v>94.522000000000006</v>
      </c>
      <c r="CM25" s="305">
        <f>Шать!D45</f>
        <v>22.400099999999998</v>
      </c>
      <c r="CN25" s="305">
        <f t="shared" si="8"/>
        <v>23.698292461014365</v>
      </c>
      <c r="CO25" s="305">
        <f>Шать!C46</f>
        <v>0</v>
      </c>
      <c r="CP25" s="305">
        <f>Шать!D46</f>
        <v>0</v>
      </c>
      <c r="CQ25" s="295" t="e">
        <f t="shared" si="39"/>
        <v>#DIV/0!</v>
      </c>
      <c r="CR25" s="322">
        <f>Шать!C50</f>
        <v>82.01</v>
      </c>
      <c r="CS25" s="305">
        <f>Шать!D50</f>
        <v>82.6</v>
      </c>
      <c r="CT25" s="305">
        <f t="shared" si="9"/>
        <v>100.71942446043165</v>
      </c>
      <c r="CU25" s="305"/>
      <c r="CV25" s="305"/>
      <c r="CW25" s="305"/>
      <c r="CX25" s="304"/>
      <c r="CY25" s="304"/>
      <c r="CZ25" s="305" t="e">
        <f t="shared" si="40"/>
        <v>#DIV/0!</v>
      </c>
      <c r="DA25" s="305"/>
      <c r="DB25" s="305"/>
      <c r="DC25" s="305"/>
      <c r="DD25" s="305"/>
      <c r="DE25" s="305"/>
      <c r="DF25" s="305"/>
      <c r="DG25" s="304">
        <f t="shared" si="41"/>
        <v>6022.18667</v>
      </c>
      <c r="DH25" s="304">
        <f t="shared" si="41"/>
        <v>581.74729000000002</v>
      </c>
      <c r="DI25" s="305">
        <f>DH25/DG25*100</f>
        <v>9.6600673788147464</v>
      </c>
      <c r="DJ25" s="304">
        <f t="shared" si="43"/>
        <v>1181.259</v>
      </c>
      <c r="DK25" s="304">
        <f t="shared" si="43"/>
        <v>191.42214000000001</v>
      </c>
      <c r="DL25" s="305">
        <f t="shared" si="44"/>
        <v>16.204925422790431</v>
      </c>
      <c r="DM25" s="305">
        <f>Шать!C58</f>
        <v>1153.2</v>
      </c>
      <c r="DN25" s="305">
        <f>Шать!D58</f>
        <v>191.42214000000001</v>
      </c>
      <c r="DO25" s="305">
        <f t="shared" si="45"/>
        <v>16.599214360041621</v>
      </c>
      <c r="DP25" s="305">
        <f>Шать!C61</f>
        <v>20.516999999999999</v>
      </c>
      <c r="DQ25" s="305">
        <f>Шать!D61</f>
        <v>0</v>
      </c>
      <c r="DR25" s="305">
        <f t="shared" si="46"/>
        <v>0</v>
      </c>
      <c r="DS25" s="305">
        <f>Шать!C62</f>
        <v>5</v>
      </c>
      <c r="DT25" s="305">
        <f>Шать!D62</f>
        <v>0</v>
      </c>
      <c r="DU25" s="305">
        <f t="shared" si="47"/>
        <v>0</v>
      </c>
      <c r="DV25" s="305">
        <f>Шать!C63</f>
        <v>2.5419999999999998</v>
      </c>
      <c r="DW25" s="305">
        <f>Шать!D63</f>
        <v>0</v>
      </c>
      <c r="DX25" s="305">
        <f t="shared" si="48"/>
        <v>0</v>
      </c>
      <c r="DY25" s="305">
        <f>Шать!C65</f>
        <v>90.341999999999999</v>
      </c>
      <c r="DZ25" s="305">
        <f>Шать!D65</f>
        <v>17.795000000000002</v>
      </c>
      <c r="EA25" s="305">
        <f t="shared" si="49"/>
        <v>19.697372207832462</v>
      </c>
      <c r="EB25" s="305">
        <f>Шать!C66</f>
        <v>4</v>
      </c>
      <c r="EC25" s="305">
        <f>Шать!D66</f>
        <v>0</v>
      </c>
      <c r="ED25" s="305">
        <f t="shared" si="50"/>
        <v>0</v>
      </c>
      <c r="EE25" s="304">
        <f>Шать!C72</f>
        <v>3759.1856700000003</v>
      </c>
      <c r="EF25" s="304">
        <f>Шать!D72</f>
        <v>129.6909</v>
      </c>
      <c r="EG25" s="305">
        <f t="shared" si="51"/>
        <v>3.4499732491265851</v>
      </c>
      <c r="EH25" s="304">
        <f>Шать!C77</f>
        <v>153</v>
      </c>
      <c r="EI25" s="304">
        <f>Шать!D77</f>
        <v>32.83925</v>
      </c>
      <c r="EJ25" s="305">
        <f t="shared" si="52"/>
        <v>21.46356209150327</v>
      </c>
      <c r="EK25" s="304">
        <f>Шать!C81</f>
        <v>832.4</v>
      </c>
      <c r="EL25" s="324">
        <f>Шать!D81</f>
        <v>210</v>
      </c>
      <c r="EM25" s="305">
        <f t="shared" si="10"/>
        <v>25.228255646323884</v>
      </c>
      <c r="EN25" s="305">
        <f>Шать!C83</f>
        <v>0</v>
      </c>
      <c r="EO25" s="305">
        <f>Шать!D83</f>
        <v>0</v>
      </c>
      <c r="EP25" s="305" t="e">
        <f t="shared" si="11"/>
        <v>#DIV/0!</v>
      </c>
      <c r="EQ25" s="321">
        <f>Шать!C88</f>
        <v>2</v>
      </c>
      <c r="ER25" s="321">
        <f>Шать!D88</f>
        <v>0</v>
      </c>
      <c r="ES25" s="305">
        <f t="shared" si="53"/>
        <v>0</v>
      </c>
      <c r="ET25" s="305">
        <f>Шать!C94</f>
        <v>0</v>
      </c>
      <c r="EU25" s="305">
        <f>Шать!D94</f>
        <v>0</v>
      </c>
      <c r="EV25" s="305" t="e">
        <f t="shared" si="54"/>
        <v>#DIV/0!</v>
      </c>
      <c r="EW25" s="325">
        <f t="shared" si="12"/>
        <v>-440.19766999999956</v>
      </c>
      <c r="EX25" s="325">
        <f t="shared" si="13"/>
        <v>157.08979999999997</v>
      </c>
      <c r="EY25" s="305">
        <f t="shared" si="56"/>
        <v>-35.686195249511456</v>
      </c>
      <c r="EZ25" s="172"/>
      <c r="FA25" s="173"/>
      <c r="FC25" s="173"/>
    </row>
    <row r="26" spans="1:170" s="253" customFormat="1" ht="24.75" customHeight="1">
      <c r="A26" s="344">
        <v>13</v>
      </c>
      <c r="B26" s="340" t="s">
        <v>301</v>
      </c>
      <c r="C26" s="317">
        <f t="shared" si="14"/>
        <v>5230.7020000000002</v>
      </c>
      <c r="D26" s="294">
        <f t="shared" si="0"/>
        <v>807.71140999999989</v>
      </c>
      <c r="E26" s="302">
        <f t="shared" si="1"/>
        <v>15.4417401335423</v>
      </c>
      <c r="F26" s="296">
        <f t="shared" si="15"/>
        <v>3467.14</v>
      </c>
      <c r="G26" s="316">
        <f t="shared" si="3"/>
        <v>547.80400999999995</v>
      </c>
      <c r="H26" s="302">
        <f t="shared" si="16"/>
        <v>15.799881458493168</v>
      </c>
      <c r="I26" s="310">
        <f>Юнг!C6</f>
        <v>115.4</v>
      </c>
      <c r="J26" s="446">
        <f>Юнг!D6</f>
        <v>29.973749999999999</v>
      </c>
      <c r="K26" s="302">
        <f t="shared" si="17"/>
        <v>25.973786828422874</v>
      </c>
      <c r="L26" s="302">
        <f>Юнг!C8</f>
        <v>227.51</v>
      </c>
      <c r="M26" s="302">
        <f>Юнг!D8</f>
        <v>64.059960000000004</v>
      </c>
      <c r="N26" s="302">
        <f t="shared" si="18"/>
        <v>28.156986506087645</v>
      </c>
      <c r="O26" s="302">
        <f>Юнг!C9</f>
        <v>2.4300000000000002</v>
      </c>
      <c r="P26" s="456">
        <f>Юнг!D9</f>
        <v>0.41760999999999998</v>
      </c>
      <c r="Q26" s="302">
        <f t="shared" si="19"/>
        <v>17.185596707818927</v>
      </c>
      <c r="R26" s="302">
        <f>Юнг!C10</f>
        <v>380</v>
      </c>
      <c r="S26" s="302">
        <f>Юнг!D10</f>
        <v>89.911559999999994</v>
      </c>
      <c r="T26" s="302">
        <f t="shared" si="20"/>
        <v>23.660936842105261</v>
      </c>
      <c r="U26" s="302">
        <f>Юнг!C11</f>
        <v>0</v>
      </c>
      <c r="V26" s="314">
        <f>Юнг!D11</f>
        <v>-13.23204</v>
      </c>
      <c r="W26" s="302" t="e">
        <f t="shared" si="21"/>
        <v>#DIV/0!</v>
      </c>
      <c r="X26" s="310">
        <f>Юнг!C13</f>
        <v>20</v>
      </c>
      <c r="Y26" s="310">
        <f>Юнг!D13</f>
        <v>46.911299999999997</v>
      </c>
      <c r="Z26" s="302">
        <f t="shared" si="22"/>
        <v>234.55649999999997</v>
      </c>
      <c r="AA26" s="310">
        <f>Юнг!C15</f>
        <v>260</v>
      </c>
      <c r="AB26" s="301">
        <f>Юнг!D15</f>
        <v>-1.9236899999999999</v>
      </c>
      <c r="AC26" s="302">
        <f t="shared" si="23"/>
        <v>-0.73988076923076918</v>
      </c>
      <c r="AD26" s="310">
        <f>Юнг!C16</f>
        <v>1979</v>
      </c>
      <c r="AE26" s="310">
        <f>Юнг!D16</f>
        <v>260.73808000000002</v>
      </c>
      <c r="AF26" s="302">
        <f t="shared" si="4"/>
        <v>13.17524406265791</v>
      </c>
      <c r="AG26" s="302">
        <f>Юнг!C18</f>
        <v>10</v>
      </c>
      <c r="AH26" s="302">
        <f>Юнг!D18</f>
        <v>1</v>
      </c>
      <c r="AI26" s="302">
        <f t="shared" si="24"/>
        <v>10</v>
      </c>
      <c r="AJ26" s="302"/>
      <c r="AK26" s="302"/>
      <c r="AL26" s="302" t="e">
        <f>AJ26/AK26*100</f>
        <v>#DIV/0!</v>
      </c>
      <c r="AM26" s="310">
        <v>0</v>
      </c>
      <c r="AN26" s="310"/>
      <c r="AO26" s="302" t="e">
        <f t="shared" si="6"/>
        <v>#DIV/0!</v>
      </c>
      <c r="AP26" s="310">
        <f>Юнг!C27</f>
        <v>353.3</v>
      </c>
      <c r="AQ26" s="311">
        <f>Юнг!D27</f>
        <v>42.577820000000003</v>
      </c>
      <c r="AR26" s="302">
        <f t="shared" si="25"/>
        <v>12.051463345598641</v>
      </c>
      <c r="AS26" s="310">
        <f>Юнг!C28</f>
        <v>79.5</v>
      </c>
      <c r="AT26" s="311">
        <f>Юнг!D28</f>
        <v>9.6432699999999993</v>
      </c>
      <c r="AU26" s="302">
        <f t="shared" si="26"/>
        <v>12.129899371069182</v>
      </c>
      <c r="AV26" s="310"/>
      <c r="AW26" s="310"/>
      <c r="AX26" s="302" t="e">
        <f t="shared" si="27"/>
        <v>#DIV/0!</v>
      </c>
      <c r="AY26" s="302">
        <f>Юнг!C30</f>
        <v>40</v>
      </c>
      <c r="AZ26" s="305">
        <f>Юнг!D30</f>
        <v>10.142390000000001</v>
      </c>
      <c r="BA26" s="302">
        <f t="shared" si="28"/>
        <v>25.355975000000004</v>
      </c>
      <c r="BB26" s="302"/>
      <c r="BC26" s="302"/>
      <c r="BD26" s="302"/>
      <c r="BE26" s="302">
        <f>Юнг!C33</f>
        <v>0</v>
      </c>
      <c r="BF26" s="302">
        <f>Юнг!D31</f>
        <v>0</v>
      </c>
      <c r="BG26" s="302" t="e">
        <f t="shared" si="29"/>
        <v>#DIV/0!</v>
      </c>
      <c r="BH26" s="302"/>
      <c r="BI26" s="302"/>
      <c r="BJ26" s="302" t="e">
        <f t="shared" si="30"/>
        <v>#DIV/0!</v>
      </c>
      <c r="BK26" s="302"/>
      <c r="BL26" s="302"/>
      <c r="BM26" s="302"/>
      <c r="BN26" s="302">
        <f>Юнг!C34</f>
        <v>0</v>
      </c>
      <c r="BO26" s="302">
        <f>Юнг!D34</f>
        <v>0</v>
      </c>
      <c r="BP26" s="295" t="e">
        <f t="shared" si="31"/>
        <v>#DIV/0!</v>
      </c>
      <c r="BQ26" s="302">
        <f>Юнг!C36</f>
        <v>0</v>
      </c>
      <c r="BR26" s="476">
        <f>Юнг!D36</f>
        <v>7.5839999999999996</v>
      </c>
      <c r="BS26" s="302" t="e">
        <f t="shared" si="32"/>
        <v>#DIV/0!</v>
      </c>
      <c r="BT26" s="302"/>
      <c r="BU26" s="302"/>
      <c r="BV26" s="312" t="e">
        <f t="shared" si="33"/>
        <v>#DIV/0!</v>
      </c>
      <c r="BW26" s="312"/>
      <c r="BX26" s="312"/>
      <c r="BY26" s="312" t="e">
        <f t="shared" si="34"/>
        <v>#DIV/0!</v>
      </c>
      <c r="BZ26" s="310">
        <f t="shared" si="35"/>
        <v>1763.5620000000004</v>
      </c>
      <c r="CA26" s="310">
        <f t="shared" si="36"/>
        <v>259.9074</v>
      </c>
      <c r="CB26" s="302">
        <f t="shared" si="55"/>
        <v>14.737638937559321</v>
      </c>
      <c r="CC26" s="302">
        <f>Юнг!C41</f>
        <v>415.4</v>
      </c>
      <c r="CD26" s="302">
        <f>Юнг!D41</f>
        <v>103.84829999999999</v>
      </c>
      <c r="CE26" s="302">
        <f t="shared" si="37"/>
        <v>24.99959075589793</v>
      </c>
      <c r="CF26" s="302">
        <f>Юнг!C42</f>
        <v>0</v>
      </c>
      <c r="CG26" s="302">
        <f>Юнг!D42</f>
        <v>0</v>
      </c>
      <c r="CH26" s="302" t="e">
        <f t="shared" si="38"/>
        <v>#DIV/0!</v>
      </c>
      <c r="CI26" s="302">
        <f>Юнг!C43</f>
        <v>1047.3400000000001</v>
      </c>
      <c r="CJ26" s="302">
        <f>Юнг!D43</f>
        <v>133.65899999999999</v>
      </c>
      <c r="CK26" s="302">
        <f t="shared" si="7"/>
        <v>12.761758359272058</v>
      </c>
      <c r="CL26" s="302">
        <f>Юнг!C44</f>
        <v>93.322000000000003</v>
      </c>
      <c r="CM26" s="302">
        <f>Юнг!D44</f>
        <v>22.400099999999998</v>
      </c>
      <c r="CN26" s="302">
        <f t="shared" si="8"/>
        <v>24.003021795503738</v>
      </c>
      <c r="CO26" s="302">
        <f>Юнг!C45</f>
        <v>207.5</v>
      </c>
      <c r="CP26" s="302">
        <f>Юнг!D45</f>
        <v>0</v>
      </c>
      <c r="CQ26" s="295">
        <f t="shared" si="39"/>
        <v>0</v>
      </c>
      <c r="CR26" s="314">
        <f>Юнг!C48</f>
        <v>0</v>
      </c>
      <c r="CS26" s="302">
        <f>Юнг!D48</f>
        <v>0</v>
      </c>
      <c r="CT26" s="302" t="e">
        <f t="shared" si="9"/>
        <v>#DIV/0!</v>
      </c>
      <c r="CU26" s="302"/>
      <c r="CV26" s="302">
        <f>Юнг!D47</f>
        <v>0</v>
      </c>
      <c r="CW26" s="302"/>
      <c r="CX26" s="310"/>
      <c r="CY26" s="310"/>
      <c r="CZ26" s="302" t="e">
        <f t="shared" si="40"/>
        <v>#DIV/0!</v>
      </c>
      <c r="DA26" s="302"/>
      <c r="DB26" s="302"/>
      <c r="DC26" s="302"/>
      <c r="DD26" s="302"/>
      <c r="DE26" s="302"/>
      <c r="DF26" s="302"/>
      <c r="DG26" s="304">
        <f t="shared" si="41"/>
        <v>5568.2418900000002</v>
      </c>
      <c r="DH26" s="304">
        <f t="shared" si="41"/>
        <v>802.02517</v>
      </c>
      <c r="DI26" s="302">
        <f t="shared" si="42"/>
        <v>14.403561947270219</v>
      </c>
      <c r="DJ26" s="310">
        <f t="shared" si="43"/>
        <v>1519.4279999999999</v>
      </c>
      <c r="DK26" s="310">
        <f t="shared" si="43"/>
        <v>239.93388999999999</v>
      </c>
      <c r="DL26" s="302">
        <f t="shared" si="44"/>
        <v>15.791066769863397</v>
      </c>
      <c r="DM26" s="302">
        <f>Юнг!C57</f>
        <v>1474.8</v>
      </c>
      <c r="DN26" s="302">
        <f>Юнг!D57</f>
        <v>239.93388999999999</v>
      </c>
      <c r="DO26" s="302">
        <f t="shared" si="45"/>
        <v>16.268910360726878</v>
      </c>
      <c r="DP26" s="302">
        <f>Юнг!C60</f>
        <v>30</v>
      </c>
      <c r="DQ26" s="302">
        <f>Юнг!D60</f>
        <v>0</v>
      </c>
      <c r="DR26" s="302">
        <f t="shared" si="46"/>
        <v>0</v>
      </c>
      <c r="DS26" s="302">
        <f>Юнг!C61</f>
        <v>5</v>
      </c>
      <c r="DT26" s="302">
        <f>Юнг!D61</f>
        <v>0</v>
      </c>
      <c r="DU26" s="302">
        <f t="shared" si="47"/>
        <v>0</v>
      </c>
      <c r="DV26" s="302">
        <f>Юнг!C62</f>
        <v>9.6280000000000001</v>
      </c>
      <c r="DW26" s="302">
        <f>Юнг!D62</f>
        <v>0</v>
      </c>
      <c r="DX26" s="302">
        <f t="shared" si="48"/>
        <v>0</v>
      </c>
      <c r="DY26" s="302">
        <f>Юнг!C64</f>
        <v>90.341999999999999</v>
      </c>
      <c r="DZ26" s="302">
        <f>Юнг!D64</f>
        <v>17.793279999999999</v>
      </c>
      <c r="EA26" s="302">
        <f t="shared" si="49"/>
        <v>19.695468331451593</v>
      </c>
      <c r="EB26" s="302">
        <f>Юнг!C65</f>
        <v>46</v>
      </c>
      <c r="EC26" s="302">
        <f>Юнг!D65</f>
        <v>2.1</v>
      </c>
      <c r="ED26" s="302">
        <f t="shared" si="50"/>
        <v>4.5652173913043477</v>
      </c>
      <c r="EE26" s="310">
        <f>Юнг!C71</f>
        <v>2407.81889</v>
      </c>
      <c r="EF26" s="310">
        <f>Юнг!D71</f>
        <v>244.82900000000001</v>
      </c>
      <c r="EG26" s="302">
        <f t="shared" si="51"/>
        <v>10.168082035439136</v>
      </c>
      <c r="EH26" s="310">
        <f>Юнг!C76</f>
        <v>429.15300000000002</v>
      </c>
      <c r="EI26" s="310">
        <f>Юнг!D76</f>
        <v>30.588999999999999</v>
      </c>
      <c r="EJ26" s="302">
        <f t="shared" si="52"/>
        <v>7.1277609617082947</v>
      </c>
      <c r="EK26" s="310">
        <f>Юнг!C80</f>
        <v>1065.5</v>
      </c>
      <c r="EL26" s="315">
        <f>Юнг!D80</f>
        <v>264.77999999999997</v>
      </c>
      <c r="EM26" s="302">
        <f t="shared" si="10"/>
        <v>24.850305021116846</v>
      </c>
      <c r="EN26" s="302">
        <f>Юнг!C82</f>
        <v>0</v>
      </c>
      <c r="EO26" s="302">
        <f>Юнг!D82</f>
        <v>0</v>
      </c>
      <c r="EP26" s="302" t="e">
        <f t="shared" si="11"/>
        <v>#DIV/0!</v>
      </c>
      <c r="EQ26" s="316">
        <f>Юнг!C87</f>
        <v>10</v>
      </c>
      <c r="ER26" s="316">
        <f>Юнг!D87</f>
        <v>2</v>
      </c>
      <c r="ES26" s="302">
        <f t="shared" si="53"/>
        <v>20</v>
      </c>
      <c r="ET26" s="302">
        <f>Юнг!C93</f>
        <v>0</v>
      </c>
      <c r="EU26" s="302">
        <f>Юнг!D93</f>
        <v>0</v>
      </c>
      <c r="EV26" s="302" t="e">
        <f t="shared" si="54"/>
        <v>#DIV/0!</v>
      </c>
      <c r="EW26" s="326">
        <f t="shared" si="12"/>
        <v>-337.53989000000001</v>
      </c>
      <c r="EX26" s="326">
        <f t="shared" si="13"/>
        <v>5.6862399999998843</v>
      </c>
      <c r="EY26" s="302">
        <f t="shared" si="56"/>
        <v>-1.6846127431041955</v>
      </c>
      <c r="EZ26" s="251"/>
      <c r="FA26" s="252"/>
      <c r="FC26" s="252"/>
    </row>
    <row r="27" spans="1:170" s="162" customFormat="1" ht="25.5" customHeight="1">
      <c r="A27" s="338">
        <v>14</v>
      </c>
      <c r="B27" s="340" t="s">
        <v>302</v>
      </c>
      <c r="C27" s="293">
        <f t="shared" si="14"/>
        <v>11536.203000000001</v>
      </c>
      <c r="D27" s="294">
        <f t="shared" si="0"/>
        <v>1470.9233199999999</v>
      </c>
      <c r="E27" s="302">
        <f t="shared" si="1"/>
        <v>12.75049788912348</v>
      </c>
      <c r="F27" s="296">
        <f t="shared" si="15"/>
        <v>1509.43</v>
      </c>
      <c r="G27" s="296">
        <f t="shared" si="3"/>
        <v>452.38341999999994</v>
      </c>
      <c r="H27" s="302">
        <f t="shared" si="16"/>
        <v>29.970480247510643</v>
      </c>
      <c r="I27" s="310">
        <f>Юсь!C6</f>
        <v>146.4</v>
      </c>
      <c r="J27" s="446">
        <f>Юсь!D6</f>
        <v>28.281420000000001</v>
      </c>
      <c r="K27" s="302">
        <f t="shared" si="17"/>
        <v>19.317909836065571</v>
      </c>
      <c r="L27" s="302">
        <f>Юсь!C8</f>
        <v>206.65</v>
      </c>
      <c r="M27" s="302">
        <f>Юсь!D8</f>
        <v>58.18779</v>
      </c>
      <c r="N27" s="295">
        <f t="shared" si="18"/>
        <v>28.157653036535201</v>
      </c>
      <c r="O27" s="295">
        <f>Юсь!C9</f>
        <v>2.2200000000000002</v>
      </c>
      <c r="P27" s="330">
        <f>Юсь!D9</f>
        <v>0.37933</v>
      </c>
      <c r="Q27" s="295">
        <f t="shared" si="19"/>
        <v>17.086936936936937</v>
      </c>
      <c r="R27" s="295">
        <f>Юсь!C10</f>
        <v>345.16</v>
      </c>
      <c r="S27" s="295">
        <f>Юсь!D10</f>
        <v>81.669659999999993</v>
      </c>
      <c r="T27" s="295">
        <f t="shared" si="20"/>
        <v>23.661391818287168</v>
      </c>
      <c r="U27" s="295">
        <f>Юсь!C11</f>
        <v>0</v>
      </c>
      <c r="V27" s="299">
        <f>Юсь!D11</f>
        <v>-12.01911</v>
      </c>
      <c r="W27" s="295" t="e">
        <f t="shared" si="21"/>
        <v>#DIV/0!</v>
      </c>
      <c r="X27" s="310">
        <f>Юсь!C13</f>
        <v>5</v>
      </c>
      <c r="Y27" s="310">
        <f>Юсь!D13</f>
        <v>0</v>
      </c>
      <c r="Z27" s="302">
        <f t="shared" si="22"/>
        <v>0</v>
      </c>
      <c r="AA27" s="310">
        <f>Юсь!C15</f>
        <v>120</v>
      </c>
      <c r="AB27" s="301">
        <f>Юсь!D15</f>
        <v>5.6877199999999997</v>
      </c>
      <c r="AC27" s="302">
        <f t="shared" si="23"/>
        <v>4.7397666666666662</v>
      </c>
      <c r="AD27" s="310">
        <f>Юсь!C16</f>
        <v>312</v>
      </c>
      <c r="AE27" s="310">
        <f>Юсь!D16</f>
        <v>14.04725</v>
      </c>
      <c r="AF27" s="302">
        <f t="shared" si="4"/>
        <v>4.5023237179487179</v>
      </c>
      <c r="AG27" s="302">
        <f>Юсь!C18</f>
        <v>10</v>
      </c>
      <c r="AH27" s="302">
        <f>Юсь!D18</f>
        <v>1.5</v>
      </c>
      <c r="AI27" s="302">
        <f t="shared" si="24"/>
        <v>15</v>
      </c>
      <c r="AJ27" s="302"/>
      <c r="AK27" s="302"/>
      <c r="AL27" s="302" t="e">
        <f>AJ27/AK27*100</f>
        <v>#DIV/0!</v>
      </c>
      <c r="AM27" s="310">
        <v>0</v>
      </c>
      <c r="AN27" s="310">
        <v>0</v>
      </c>
      <c r="AO27" s="302" t="e">
        <f t="shared" si="6"/>
        <v>#DIV/0!</v>
      </c>
      <c r="AP27" s="310">
        <f>Юсь!C27</f>
        <v>0</v>
      </c>
      <c r="AQ27" s="311">
        <f>Юсь!D27</f>
        <v>0</v>
      </c>
      <c r="AR27" s="302" t="e">
        <f t="shared" si="25"/>
        <v>#DIV/0!</v>
      </c>
      <c r="AS27" s="304">
        <f>Юсь!C28</f>
        <v>55</v>
      </c>
      <c r="AT27" s="311">
        <f>Юсь!D28</f>
        <v>13.5</v>
      </c>
      <c r="AU27" s="302">
        <f t="shared" si="26"/>
        <v>24.545454545454547</v>
      </c>
      <c r="AV27" s="310"/>
      <c r="AW27" s="310"/>
      <c r="AX27" s="302" t="e">
        <f t="shared" si="27"/>
        <v>#DIV/0!</v>
      </c>
      <c r="AY27" s="302">
        <f>Юсь!C30</f>
        <v>100</v>
      </c>
      <c r="AZ27" s="305">
        <f>Юсь!D30</f>
        <v>115.75936</v>
      </c>
      <c r="BA27" s="302">
        <f t="shared" si="28"/>
        <v>115.75936</v>
      </c>
      <c r="BB27" s="302"/>
      <c r="BC27" s="302"/>
      <c r="BD27" s="302"/>
      <c r="BE27" s="302">
        <f>Юсь!C31</f>
        <v>207</v>
      </c>
      <c r="BF27" s="302">
        <f>Юсь!D31</f>
        <v>145.38999999999999</v>
      </c>
      <c r="BG27" s="302">
        <f t="shared" si="29"/>
        <v>70.236714975845402</v>
      </c>
      <c r="BH27" s="302"/>
      <c r="BI27" s="302"/>
      <c r="BJ27" s="302" t="e">
        <f t="shared" si="30"/>
        <v>#DIV/0!</v>
      </c>
      <c r="BK27" s="302"/>
      <c r="BL27" s="302"/>
      <c r="BM27" s="302"/>
      <c r="BN27" s="302"/>
      <c r="BO27" s="302"/>
      <c r="BP27" s="295" t="e">
        <f t="shared" si="31"/>
        <v>#DIV/0!</v>
      </c>
      <c r="BQ27" s="302">
        <f>Юсь!C34</f>
        <v>0</v>
      </c>
      <c r="BR27" s="476">
        <f>Юсь!D34</f>
        <v>0</v>
      </c>
      <c r="BS27" s="302" t="e">
        <f t="shared" si="32"/>
        <v>#DIV/0!</v>
      </c>
      <c r="BT27" s="302"/>
      <c r="BU27" s="302"/>
      <c r="BV27" s="312" t="e">
        <f t="shared" si="33"/>
        <v>#DIV/0!</v>
      </c>
      <c r="BW27" s="312"/>
      <c r="BX27" s="312"/>
      <c r="BY27" s="312" t="e">
        <f t="shared" si="34"/>
        <v>#DIV/0!</v>
      </c>
      <c r="BZ27" s="300">
        <f t="shared" si="35"/>
        <v>10026.773000000001</v>
      </c>
      <c r="CA27" s="300">
        <f t="shared" si="36"/>
        <v>1018.5399</v>
      </c>
      <c r="CB27" s="302">
        <f t="shared" si="55"/>
        <v>10.158202444595084</v>
      </c>
      <c r="CC27" s="302">
        <f>Юсь!C39</f>
        <v>3421</v>
      </c>
      <c r="CD27" s="302">
        <f>Юсь!D39</f>
        <v>855.23400000000004</v>
      </c>
      <c r="CE27" s="302">
        <f t="shared" si="37"/>
        <v>24.999532300496931</v>
      </c>
      <c r="CF27" s="302">
        <f>Юсь!C41</f>
        <v>0</v>
      </c>
      <c r="CG27" s="302">
        <f>Юсь!D41</f>
        <v>0</v>
      </c>
      <c r="CH27" s="302" t="e">
        <f t="shared" si="38"/>
        <v>#DIV/0!</v>
      </c>
      <c r="CI27" s="302">
        <f>Юсь!C42</f>
        <v>1965.91</v>
      </c>
      <c r="CJ27" s="302">
        <f>Юсь!D42</f>
        <v>118.506</v>
      </c>
      <c r="CK27" s="302">
        <f t="shared" si="7"/>
        <v>6.0280480795153384</v>
      </c>
      <c r="CL27" s="302">
        <f>Юсь!C43</f>
        <v>184.863</v>
      </c>
      <c r="CM27" s="302">
        <f>Юсь!D43</f>
        <v>44.799900000000001</v>
      </c>
      <c r="CN27" s="302">
        <f t="shared" si="8"/>
        <v>24.234108501971733</v>
      </c>
      <c r="CO27" s="302">
        <f>Юсь!C50</f>
        <v>4455</v>
      </c>
      <c r="CP27" s="302">
        <f>Юсь!D50</f>
        <v>0</v>
      </c>
      <c r="CQ27" s="295">
        <f t="shared" si="39"/>
        <v>0</v>
      </c>
      <c r="CR27" s="314">
        <f>Юсь!C51</f>
        <v>0</v>
      </c>
      <c r="CS27" s="302">
        <f>Юсь!D51</f>
        <v>0</v>
      </c>
      <c r="CT27" s="302" t="e">
        <f t="shared" si="9"/>
        <v>#DIV/0!</v>
      </c>
      <c r="CU27" s="302"/>
      <c r="CV27" s="302"/>
      <c r="CW27" s="302"/>
      <c r="CX27" s="310"/>
      <c r="CY27" s="310"/>
      <c r="CZ27" s="302" t="e">
        <f t="shared" si="40"/>
        <v>#DIV/0!</v>
      </c>
      <c r="DA27" s="302"/>
      <c r="DB27" s="302"/>
      <c r="DC27" s="302"/>
      <c r="DD27" s="302"/>
      <c r="DE27" s="302"/>
      <c r="DF27" s="302"/>
      <c r="DG27" s="304">
        <f t="shared" si="41"/>
        <v>11961.955320000001</v>
      </c>
      <c r="DH27" s="304">
        <f t="shared" si="41"/>
        <v>1221.8346899999999</v>
      </c>
      <c r="DI27" s="302">
        <f t="shared" si="42"/>
        <v>10.214339188820844</v>
      </c>
      <c r="DJ27" s="310">
        <f t="shared" si="43"/>
        <v>1382.8620000000001</v>
      </c>
      <c r="DK27" s="310">
        <f t="shared" si="43"/>
        <v>298.91865999999999</v>
      </c>
      <c r="DL27" s="302">
        <f t="shared" si="44"/>
        <v>21.615942877886585</v>
      </c>
      <c r="DM27" s="302">
        <f>Юсь!C59</f>
        <v>1339.662</v>
      </c>
      <c r="DN27" s="302">
        <f>Юсь!D59</f>
        <v>298.91865999999999</v>
      </c>
      <c r="DO27" s="302">
        <f t="shared" si="45"/>
        <v>22.312990888746562</v>
      </c>
      <c r="DP27" s="302">
        <f>Юсь!C62</f>
        <v>34</v>
      </c>
      <c r="DQ27" s="302">
        <f>Юсь!D62</f>
        <v>0</v>
      </c>
      <c r="DR27" s="302">
        <f t="shared" si="46"/>
        <v>0</v>
      </c>
      <c r="DS27" s="302">
        <f>Юсь!C63</f>
        <v>5</v>
      </c>
      <c r="DT27" s="302">
        <f>Юсь!D63</f>
        <v>0</v>
      </c>
      <c r="DU27" s="302">
        <f t="shared" si="47"/>
        <v>0</v>
      </c>
      <c r="DV27" s="302">
        <f>Юсь!C64</f>
        <v>4.2</v>
      </c>
      <c r="DW27" s="302">
        <f>Юсь!D64</f>
        <v>0</v>
      </c>
      <c r="DX27" s="302">
        <f t="shared" si="48"/>
        <v>0</v>
      </c>
      <c r="DY27" s="302">
        <f>Юсь!C66</f>
        <v>180.68299999999999</v>
      </c>
      <c r="DZ27" s="302">
        <f>Юсь!D66</f>
        <v>35.588999999999999</v>
      </c>
      <c r="EA27" s="302">
        <f t="shared" si="49"/>
        <v>19.696927768522769</v>
      </c>
      <c r="EB27" s="302">
        <f>Юсь!C67</f>
        <v>12</v>
      </c>
      <c r="EC27" s="302">
        <f>Юсь!D67</f>
        <v>1.5</v>
      </c>
      <c r="ED27" s="302">
        <f t="shared" si="50"/>
        <v>12.5</v>
      </c>
      <c r="EE27" s="310">
        <f>Юсь!C73</f>
        <v>2434.9318000000003</v>
      </c>
      <c r="EF27" s="310">
        <f>Юсь!D73</f>
        <v>337.48599999999999</v>
      </c>
      <c r="EG27" s="302">
        <f t="shared" si="51"/>
        <v>13.860182860152385</v>
      </c>
      <c r="EH27" s="310">
        <f>Юсь!C78</f>
        <v>5847.4785199999997</v>
      </c>
      <c r="EI27" s="310">
        <f>Юсь!D78</f>
        <v>19.317740000000001</v>
      </c>
      <c r="EJ27" s="302">
        <f t="shared" si="52"/>
        <v>0.3303601703525369</v>
      </c>
      <c r="EK27" s="310">
        <f>Юсь!C82</f>
        <v>2102</v>
      </c>
      <c r="EL27" s="315">
        <f>Юсь!D82</f>
        <v>529.02328999999997</v>
      </c>
      <c r="EM27" s="302">
        <f t="shared" si="10"/>
        <v>25.167616079923882</v>
      </c>
      <c r="EN27" s="302">
        <f>Юсь!C84</f>
        <v>0</v>
      </c>
      <c r="EO27" s="302">
        <f>Юсь!D84</f>
        <v>0</v>
      </c>
      <c r="EP27" s="302" t="e">
        <f t="shared" si="11"/>
        <v>#DIV/0!</v>
      </c>
      <c r="EQ27" s="316">
        <f>Юсь!C89</f>
        <v>2</v>
      </c>
      <c r="ER27" s="316">
        <f>Юсь!D89</f>
        <v>0</v>
      </c>
      <c r="ES27" s="302">
        <f t="shared" si="53"/>
        <v>0</v>
      </c>
      <c r="ET27" s="302">
        <f>Юсь!C95</f>
        <v>0</v>
      </c>
      <c r="EU27" s="302">
        <f>Юсь!D95</f>
        <v>0</v>
      </c>
      <c r="EV27" s="295" t="e">
        <f t="shared" si="54"/>
        <v>#DIV/0!</v>
      </c>
      <c r="EW27" s="309">
        <f t="shared" si="12"/>
        <v>-425.7523199999996</v>
      </c>
      <c r="EX27" s="309">
        <f t="shared" si="13"/>
        <v>249.08862999999997</v>
      </c>
      <c r="EY27" s="295">
        <f t="shared" si="56"/>
        <v>-58.505524996317163</v>
      </c>
      <c r="EZ27" s="164"/>
      <c r="FA27" s="165"/>
      <c r="FC27" s="165"/>
    </row>
    <row r="28" spans="1:170" s="162" customFormat="1" ht="23.25" customHeight="1">
      <c r="A28" s="338">
        <v>15</v>
      </c>
      <c r="B28" s="340" t="s">
        <v>303</v>
      </c>
      <c r="C28" s="317">
        <f t="shared" si="14"/>
        <v>16244.819899999999</v>
      </c>
      <c r="D28" s="294">
        <f>G28+CA28+CY28</f>
        <v>1155.3633399999999</v>
      </c>
      <c r="E28" s="302">
        <f>D28/C28*100</f>
        <v>7.1121954389903692</v>
      </c>
      <c r="F28" s="296">
        <f t="shared" si="15"/>
        <v>2530.96</v>
      </c>
      <c r="G28" s="296">
        <f>J28+Y28+AB28+AE28+AH28+AN28+AT28+BF28+AK28+BR28+BO28+AZ28+M28+S28+P28+V28+AQ28</f>
        <v>453.88044000000002</v>
      </c>
      <c r="H28" s="302">
        <f>G28/F28*100</f>
        <v>17.93313367259854</v>
      </c>
      <c r="I28" s="310">
        <f>Яра!C6</f>
        <v>114.5</v>
      </c>
      <c r="J28" s="446">
        <f>Яра!D6</f>
        <v>60.765070000000001</v>
      </c>
      <c r="K28" s="302">
        <f t="shared" si="17"/>
        <v>53.069930131004369</v>
      </c>
      <c r="L28" s="302">
        <f>Яра!C8</f>
        <v>319.45999999999998</v>
      </c>
      <c r="M28" s="302">
        <f>Яра!D8</f>
        <v>89.950860000000006</v>
      </c>
      <c r="N28" s="295">
        <f t="shared" si="18"/>
        <v>28.15715895573781</v>
      </c>
      <c r="O28" s="295">
        <f>Яра!C9</f>
        <v>3.43</v>
      </c>
      <c r="P28" s="330">
        <f>Яра!D9</f>
        <v>0.58638999999999997</v>
      </c>
      <c r="Q28" s="295">
        <f t="shared" si="19"/>
        <v>17.095918367346936</v>
      </c>
      <c r="R28" s="295">
        <f>Яра!C10</f>
        <v>533.57000000000005</v>
      </c>
      <c r="S28" s="295">
        <f>Яра!D10</f>
        <v>126.25081</v>
      </c>
      <c r="T28" s="295">
        <f t="shared" si="20"/>
        <v>23.661527072361636</v>
      </c>
      <c r="U28" s="295">
        <f>Яра!C11</f>
        <v>0</v>
      </c>
      <c r="V28" s="299">
        <f>Яра!D11</f>
        <v>-18.579979999999999</v>
      </c>
      <c r="W28" s="295" t="e">
        <f t="shared" si="21"/>
        <v>#DIV/0!</v>
      </c>
      <c r="X28" s="310">
        <f>Яра!C13</f>
        <v>20</v>
      </c>
      <c r="Y28" s="310">
        <f>Яра!D13</f>
        <v>5.8148999999999997</v>
      </c>
      <c r="Z28" s="302">
        <f t="shared" si="22"/>
        <v>29.074499999999997</v>
      </c>
      <c r="AA28" s="310">
        <f>Яра!C15</f>
        <v>245</v>
      </c>
      <c r="AB28" s="301">
        <f>Яра!D15</f>
        <v>32.044780000000003</v>
      </c>
      <c r="AC28" s="302">
        <f t="shared" si="23"/>
        <v>13.079502040816326</v>
      </c>
      <c r="AD28" s="310">
        <f>Яра!C16</f>
        <v>1250</v>
      </c>
      <c r="AE28" s="310">
        <f>Яра!D16</f>
        <v>148.54400999999999</v>
      </c>
      <c r="AF28" s="302">
        <f t="shared" si="4"/>
        <v>11.883520799999998</v>
      </c>
      <c r="AG28" s="302">
        <f>Яра!C18</f>
        <v>15</v>
      </c>
      <c r="AH28" s="302">
        <f>Яра!D18</f>
        <v>0.7</v>
      </c>
      <c r="AI28" s="302">
        <f t="shared" si="24"/>
        <v>4.6666666666666661</v>
      </c>
      <c r="AJ28" s="302"/>
      <c r="AK28" s="302"/>
      <c r="AL28" s="302" t="e">
        <f>AJ28/AK28*100</f>
        <v>#DIV/0!</v>
      </c>
      <c r="AM28" s="310">
        <v>0</v>
      </c>
      <c r="AN28" s="310">
        <v>0</v>
      </c>
      <c r="AO28" s="302" t="e">
        <f t="shared" si="6"/>
        <v>#DIV/0!</v>
      </c>
      <c r="AP28" s="310">
        <f>Яра!C27</f>
        <v>30</v>
      </c>
      <c r="AQ28" s="311">
        <f>Яра!D27</f>
        <v>7.8036000000000003</v>
      </c>
      <c r="AR28" s="302">
        <f t="shared" si="25"/>
        <v>26.012</v>
      </c>
      <c r="AS28" s="304">
        <f>Яра!C28</f>
        <v>0</v>
      </c>
      <c r="AT28" s="311">
        <f>Яра!D28</f>
        <v>0</v>
      </c>
      <c r="AU28" s="302" t="e">
        <f t="shared" si="26"/>
        <v>#DIV/0!</v>
      </c>
      <c r="AV28" s="310"/>
      <c r="AW28" s="310"/>
      <c r="AX28" s="302" t="e">
        <f t="shared" si="27"/>
        <v>#DIV/0!</v>
      </c>
      <c r="AY28" s="302">
        <f>Яра!C31</f>
        <v>0</v>
      </c>
      <c r="AZ28" s="305">
        <f>Яра!D31</f>
        <v>0</v>
      </c>
      <c r="BA28" s="302" t="e">
        <f t="shared" si="28"/>
        <v>#DIV/0!</v>
      </c>
      <c r="BB28" s="302"/>
      <c r="BC28" s="302"/>
      <c r="BD28" s="302"/>
      <c r="BE28" s="302">
        <f>Яра!C34</f>
        <v>0</v>
      </c>
      <c r="BF28" s="302">
        <v>0</v>
      </c>
      <c r="BG28" s="302" t="e">
        <f t="shared" si="29"/>
        <v>#DIV/0!</v>
      </c>
      <c r="BH28" s="302"/>
      <c r="BI28" s="302"/>
      <c r="BJ28" s="302" t="e">
        <f t="shared" si="30"/>
        <v>#DIV/0!</v>
      </c>
      <c r="BK28" s="302"/>
      <c r="BL28" s="302"/>
      <c r="BM28" s="302"/>
      <c r="BN28" s="302">
        <f>Яра!C35</f>
        <v>0</v>
      </c>
      <c r="BO28" s="302">
        <f>Яра!D35</f>
        <v>0</v>
      </c>
      <c r="BP28" s="295" t="e">
        <f t="shared" si="31"/>
        <v>#DIV/0!</v>
      </c>
      <c r="BQ28" s="302">
        <f>Яра!C37</f>
        <v>0</v>
      </c>
      <c r="BR28" s="476">
        <f>Яра!D37</f>
        <v>0</v>
      </c>
      <c r="BS28" s="302" t="e">
        <f t="shared" si="32"/>
        <v>#DIV/0!</v>
      </c>
      <c r="BT28" s="302"/>
      <c r="BU28" s="302"/>
      <c r="BV28" s="312" t="e">
        <f t="shared" si="33"/>
        <v>#DIV/0!</v>
      </c>
      <c r="BW28" s="312"/>
      <c r="BX28" s="312"/>
      <c r="BY28" s="312" t="e">
        <f t="shared" si="34"/>
        <v>#DIV/0!</v>
      </c>
      <c r="BZ28" s="300">
        <f t="shared" si="35"/>
        <v>13713.859899999999</v>
      </c>
      <c r="CA28" s="300">
        <f t="shared" si="36"/>
        <v>701.48289999999997</v>
      </c>
      <c r="CB28" s="302">
        <f t="shared" si="55"/>
        <v>5.1151382988825782</v>
      </c>
      <c r="CC28" s="302">
        <f>Яра!C42</f>
        <v>2004.7</v>
      </c>
      <c r="CD28" s="302">
        <f>Яра!D42</f>
        <v>501.16500000000002</v>
      </c>
      <c r="CE28" s="302">
        <f t="shared" si="37"/>
        <v>24.999501172245225</v>
      </c>
      <c r="CF28" s="302">
        <f>Яра!C43</f>
        <v>414</v>
      </c>
      <c r="CG28" s="302">
        <f>Яра!D43</f>
        <v>0</v>
      </c>
      <c r="CH28" s="302">
        <f t="shared" si="38"/>
        <v>0</v>
      </c>
      <c r="CI28" s="302">
        <f>Яра!C44</f>
        <v>2373.5</v>
      </c>
      <c r="CJ28" s="302">
        <f>Яра!D44</f>
        <v>155.518</v>
      </c>
      <c r="CK28" s="302">
        <f t="shared" si="7"/>
        <v>6.552264588160944</v>
      </c>
      <c r="CL28" s="302">
        <f>Яра!C45</f>
        <v>184.863</v>
      </c>
      <c r="CM28" s="302">
        <f>Яра!D45</f>
        <v>44.799900000000001</v>
      </c>
      <c r="CN28" s="302">
        <f t="shared" si="8"/>
        <v>24.234108501971733</v>
      </c>
      <c r="CO28" s="302">
        <f>Яра!C47</f>
        <v>8736.7968999999994</v>
      </c>
      <c r="CP28" s="302">
        <f>Яра!D47</f>
        <v>0</v>
      </c>
      <c r="CQ28" s="295">
        <f t="shared" si="39"/>
        <v>0</v>
      </c>
      <c r="CR28" s="314">
        <f>Яра!C51</f>
        <v>0</v>
      </c>
      <c r="CS28" s="302">
        <f>Яра!D51</f>
        <v>0</v>
      </c>
      <c r="CT28" s="302" t="e">
        <f t="shared" si="9"/>
        <v>#DIV/0!</v>
      </c>
      <c r="CU28" s="302"/>
      <c r="CV28" s="302"/>
      <c r="CW28" s="302"/>
      <c r="CX28" s="310"/>
      <c r="CY28" s="310"/>
      <c r="CZ28" s="302" t="e">
        <f t="shared" si="40"/>
        <v>#DIV/0!</v>
      </c>
      <c r="DA28" s="302"/>
      <c r="DB28" s="302">
        <f>Яра!D46</f>
        <v>0</v>
      </c>
      <c r="DC28" s="302" t="e">
        <f>DB28/DA28</f>
        <v>#DIV/0!</v>
      </c>
      <c r="DD28" s="302"/>
      <c r="DE28" s="302"/>
      <c r="DF28" s="302"/>
      <c r="DG28" s="304">
        <f t="shared" si="41"/>
        <v>17366.036630000002</v>
      </c>
      <c r="DH28" s="304">
        <f t="shared" si="41"/>
        <v>1159.8872999999999</v>
      </c>
      <c r="DI28" s="302">
        <f t="shared" si="42"/>
        <v>6.6790559337890771</v>
      </c>
      <c r="DJ28" s="310">
        <f t="shared" si="43"/>
        <v>1574.202</v>
      </c>
      <c r="DK28" s="310">
        <f t="shared" si="43"/>
        <v>303.36059</v>
      </c>
      <c r="DL28" s="302">
        <f t="shared" si="44"/>
        <v>19.270753689806011</v>
      </c>
      <c r="DM28" s="302">
        <f>Яра!C59</f>
        <v>1526.1</v>
      </c>
      <c r="DN28" s="302">
        <f>Яра!D59</f>
        <v>303.36059</v>
      </c>
      <c r="DO28" s="302">
        <f t="shared" si="45"/>
        <v>19.878159360461307</v>
      </c>
      <c r="DP28" s="302">
        <f>Яра!C62</f>
        <v>39</v>
      </c>
      <c r="DQ28" s="302">
        <f>Яра!D62</f>
        <v>0</v>
      </c>
      <c r="DR28" s="302">
        <f t="shared" si="46"/>
        <v>0</v>
      </c>
      <c r="DS28" s="302">
        <f>Яра!C63</f>
        <v>5</v>
      </c>
      <c r="DT28" s="302">
        <f>Яра!D63</f>
        <v>0</v>
      </c>
      <c r="DU28" s="302">
        <f t="shared" si="47"/>
        <v>0</v>
      </c>
      <c r="DV28" s="302">
        <f>Яра!C64</f>
        <v>4.1020000000000003</v>
      </c>
      <c r="DW28" s="302">
        <f>Яра!D64</f>
        <v>0</v>
      </c>
      <c r="DX28" s="302">
        <f t="shared" si="48"/>
        <v>0</v>
      </c>
      <c r="DY28" s="302">
        <f>Яра!C66</f>
        <v>180.68299999999999</v>
      </c>
      <c r="DZ28" s="302">
        <f>Яра!D65</f>
        <v>36.386519999999997</v>
      </c>
      <c r="EA28" s="302">
        <f t="shared" si="49"/>
        <v>20.138319598412689</v>
      </c>
      <c r="EB28" s="302">
        <f>Яра!C67</f>
        <v>12</v>
      </c>
      <c r="EC28" s="302">
        <f>Яра!D67</f>
        <v>1</v>
      </c>
      <c r="ED28" s="302">
        <f t="shared" si="50"/>
        <v>8.3333333333333321</v>
      </c>
      <c r="EE28" s="310">
        <f>Яра!C73</f>
        <v>4672.1977299999999</v>
      </c>
      <c r="EF28" s="310">
        <f>Яра!D73</f>
        <v>186.49299999999999</v>
      </c>
      <c r="EG28" s="302">
        <f t="shared" si="51"/>
        <v>3.9915476779275783</v>
      </c>
      <c r="EH28" s="310">
        <f>Яра!C78</f>
        <v>4228.5538999999999</v>
      </c>
      <c r="EI28" s="310">
        <f>Яра!D78</f>
        <v>124.18837000000001</v>
      </c>
      <c r="EJ28" s="302">
        <f t="shared" si="52"/>
        <v>2.9368993026197447</v>
      </c>
      <c r="EK28" s="310">
        <f>Яра!C82</f>
        <v>6646.4</v>
      </c>
      <c r="EL28" s="315">
        <f>Яра!D82</f>
        <v>489.06382000000002</v>
      </c>
      <c r="EM28" s="302">
        <f t="shared" si="10"/>
        <v>7.3583266129032268</v>
      </c>
      <c r="EN28" s="302">
        <f>Яра!C84</f>
        <v>0</v>
      </c>
      <c r="EO28" s="302">
        <f>Яра!D84</f>
        <v>0</v>
      </c>
      <c r="EP28" s="302" t="e">
        <f t="shared" si="11"/>
        <v>#DIV/0!</v>
      </c>
      <c r="EQ28" s="316">
        <f>Яра!C89</f>
        <v>52</v>
      </c>
      <c r="ER28" s="316">
        <f>Яра!D89</f>
        <v>19.395</v>
      </c>
      <c r="ES28" s="302">
        <f t="shared" si="53"/>
        <v>37.29807692307692</v>
      </c>
      <c r="ET28" s="302">
        <f>Яра!C95</f>
        <v>0</v>
      </c>
      <c r="EU28" s="302">
        <f>Яра!D95</f>
        <v>0</v>
      </c>
      <c r="EV28" s="295" t="e">
        <f t="shared" si="54"/>
        <v>#DIV/0!</v>
      </c>
      <c r="EW28" s="309">
        <f t="shared" si="12"/>
        <v>-1121.2167300000037</v>
      </c>
      <c r="EX28" s="309">
        <f t="shared" si="13"/>
        <v>-4.5239599999999882</v>
      </c>
      <c r="EY28" s="295">
        <f t="shared" si="56"/>
        <v>0.40348666577602471</v>
      </c>
      <c r="EZ28" s="164"/>
      <c r="FA28" s="165"/>
      <c r="FC28" s="165"/>
    </row>
    <row r="29" spans="1:170" s="162" customFormat="1" ht="25.5" customHeight="1">
      <c r="A29" s="338">
        <v>16</v>
      </c>
      <c r="B29" s="339" t="s">
        <v>304</v>
      </c>
      <c r="C29" s="293">
        <f t="shared" si="14"/>
        <v>11397.100930000001</v>
      </c>
      <c r="D29" s="294">
        <f t="shared" si="0"/>
        <v>603.27337</v>
      </c>
      <c r="E29" s="295">
        <f t="shared" si="1"/>
        <v>5.2932177551576709</v>
      </c>
      <c r="F29" s="296">
        <f t="shared" si="15"/>
        <v>2285.6761099999999</v>
      </c>
      <c r="G29" s="296">
        <f t="shared" si="3"/>
        <v>398.35027000000002</v>
      </c>
      <c r="H29" s="295">
        <f t="shared" si="16"/>
        <v>17.428115394704811</v>
      </c>
      <c r="I29" s="300">
        <f>Яро!C6</f>
        <v>111</v>
      </c>
      <c r="J29" s="446">
        <f>Яро!D6</f>
        <v>29.679539999999999</v>
      </c>
      <c r="K29" s="295">
        <f t="shared" si="17"/>
        <v>26.738324324324324</v>
      </c>
      <c r="L29" s="295">
        <f>Яро!C8</f>
        <v>183.91</v>
      </c>
      <c r="M29" s="295">
        <f>Яро!D8</f>
        <v>51.781790000000001</v>
      </c>
      <c r="N29" s="295">
        <f t="shared" si="18"/>
        <v>28.156049154477735</v>
      </c>
      <c r="O29" s="295">
        <f>Яро!C9</f>
        <v>1.97</v>
      </c>
      <c r="P29" s="330">
        <f>Яро!D9</f>
        <v>0.33756000000000003</v>
      </c>
      <c r="Q29" s="295">
        <f t="shared" si="19"/>
        <v>17.135025380710662</v>
      </c>
      <c r="R29" s="295">
        <f>Яро!C10</f>
        <v>307.16000000000003</v>
      </c>
      <c r="S29" s="295">
        <f>Яро!D10</f>
        <v>72.678510000000003</v>
      </c>
      <c r="T29" s="295">
        <f t="shared" si="20"/>
        <v>23.661450058601378</v>
      </c>
      <c r="U29" s="295">
        <f>Яро!C11</f>
        <v>0</v>
      </c>
      <c r="V29" s="299">
        <f>Яро!D11</f>
        <v>-10.6959</v>
      </c>
      <c r="W29" s="295" t="e">
        <f t="shared" si="21"/>
        <v>#DIV/0!</v>
      </c>
      <c r="X29" s="300">
        <f>Яро!C13</f>
        <v>5</v>
      </c>
      <c r="Y29" s="300">
        <f>Яро!D13</f>
        <v>0.40439999999999998</v>
      </c>
      <c r="Z29" s="295">
        <f t="shared" si="22"/>
        <v>8.0879999999999992</v>
      </c>
      <c r="AA29" s="300">
        <f>Яро!C15</f>
        <v>470</v>
      </c>
      <c r="AB29" s="301">
        <f>Яро!D15</f>
        <v>24.427320000000002</v>
      </c>
      <c r="AC29" s="295">
        <f t="shared" si="23"/>
        <v>5.197302127659575</v>
      </c>
      <c r="AD29" s="300">
        <f>Яро!C16</f>
        <v>971.03611000000001</v>
      </c>
      <c r="AE29" s="300">
        <f>Яро!D16</f>
        <v>64.376080000000002</v>
      </c>
      <c r="AF29" s="295">
        <f t="shared" si="4"/>
        <v>6.6296278106485653</v>
      </c>
      <c r="AG29" s="295">
        <f>Яро!C18</f>
        <v>5</v>
      </c>
      <c r="AH29" s="295">
        <f>Яро!D18</f>
        <v>2.4</v>
      </c>
      <c r="AI29" s="295">
        <f t="shared" si="24"/>
        <v>48</v>
      </c>
      <c r="AJ29" s="295"/>
      <c r="AK29" s="295"/>
      <c r="AL29" s="295" t="e">
        <f>AJ29/AK29*100</f>
        <v>#DIV/0!</v>
      </c>
      <c r="AM29" s="300">
        <v>0</v>
      </c>
      <c r="AN29" s="300">
        <v>0</v>
      </c>
      <c r="AO29" s="295" t="e">
        <f t="shared" si="6"/>
        <v>#DIV/0!</v>
      </c>
      <c r="AP29" s="300">
        <f>Яро!C26</f>
        <v>230.6</v>
      </c>
      <c r="AQ29" s="303">
        <f>Яро!D27</f>
        <v>158.54096999999999</v>
      </c>
      <c r="AR29" s="295">
        <f t="shared" si="25"/>
        <v>68.751504770164786</v>
      </c>
      <c r="AS29" s="304">
        <v>0</v>
      </c>
      <c r="AT29" s="303">
        <f>Яро!D28</f>
        <v>0</v>
      </c>
      <c r="AU29" s="295" t="e">
        <f t="shared" si="26"/>
        <v>#DIV/0!</v>
      </c>
      <c r="AV29" s="300"/>
      <c r="AW29" s="300"/>
      <c r="AX29" s="295" t="e">
        <f t="shared" si="27"/>
        <v>#DIV/0!</v>
      </c>
      <c r="AY29" s="295"/>
      <c r="AZ29" s="305">
        <f>Яро!D29</f>
        <v>0</v>
      </c>
      <c r="BA29" s="295" t="e">
        <f t="shared" si="28"/>
        <v>#DIV/0!</v>
      </c>
      <c r="BB29" s="295"/>
      <c r="BC29" s="295"/>
      <c r="BD29" s="295"/>
      <c r="BE29" s="295">
        <f>Яро!C31</f>
        <v>0</v>
      </c>
      <c r="BF29" s="295">
        <f>Яро!D31</f>
        <v>4.42</v>
      </c>
      <c r="BG29" s="295" t="e">
        <f t="shared" si="29"/>
        <v>#DIV/0!</v>
      </c>
      <c r="BH29" s="295"/>
      <c r="BI29" s="295"/>
      <c r="BJ29" s="295" t="e">
        <f t="shared" si="30"/>
        <v>#DIV/0!</v>
      </c>
      <c r="BK29" s="295"/>
      <c r="BL29" s="295"/>
      <c r="BM29" s="295"/>
      <c r="BN29" s="295">
        <f>Яро!C34</f>
        <v>0</v>
      </c>
      <c r="BO29" s="295">
        <f>Яро!D34</f>
        <v>0</v>
      </c>
      <c r="BP29" s="295" t="e">
        <f t="shared" si="31"/>
        <v>#DIV/0!</v>
      </c>
      <c r="BQ29" s="295">
        <v>0</v>
      </c>
      <c r="BR29" s="475">
        <v>0</v>
      </c>
      <c r="BS29" s="295" t="e">
        <f t="shared" si="32"/>
        <v>#DIV/0!</v>
      </c>
      <c r="BT29" s="295"/>
      <c r="BU29" s="295"/>
      <c r="BV29" s="307" t="e">
        <f t="shared" si="33"/>
        <v>#DIV/0!</v>
      </c>
      <c r="BW29" s="307"/>
      <c r="BX29" s="307"/>
      <c r="BY29" s="307" t="e">
        <f t="shared" si="34"/>
        <v>#DIV/0!</v>
      </c>
      <c r="BZ29" s="300">
        <f t="shared" si="35"/>
        <v>9111.4248200000002</v>
      </c>
      <c r="CA29" s="300">
        <f t="shared" si="36"/>
        <v>204.92310000000001</v>
      </c>
      <c r="CB29" s="295">
        <f t="shared" si="55"/>
        <v>2.2490785365444084</v>
      </c>
      <c r="CC29" s="302">
        <f>Яро!C39</f>
        <v>730.1</v>
      </c>
      <c r="CD29" s="302">
        <f>Яро!D39</f>
        <v>182.523</v>
      </c>
      <c r="CE29" s="295">
        <f t="shared" si="37"/>
        <v>24.999726064922612</v>
      </c>
      <c r="CF29" s="295">
        <f>Яро!C40</f>
        <v>1236.7529999999999</v>
      </c>
      <c r="CG29" s="295">
        <f>Яро!D40</f>
        <v>0</v>
      </c>
      <c r="CH29" s="295">
        <f t="shared" si="38"/>
        <v>0</v>
      </c>
      <c r="CI29" s="295">
        <f>Яро!C41</f>
        <v>2219.6710000000003</v>
      </c>
      <c r="CJ29" s="295">
        <f>Яро!D41</f>
        <v>0</v>
      </c>
      <c r="CK29" s="295">
        <f t="shared" si="7"/>
        <v>0</v>
      </c>
      <c r="CL29" s="295">
        <f>Яро!C42</f>
        <v>96.311999999999998</v>
      </c>
      <c r="CM29" s="295">
        <f>Яро!D42</f>
        <v>22.400099999999998</v>
      </c>
      <c r="CN29" s="295">
        <f t="shared" si="8"/>
        <v>23.257849489160229</v>
      </c>
      <c r="CO29" s="295">
        <f>Яро!C44</f>
        <v>4170</v>
      </c>
      <c r="CP29" s="295">
        <f>Яро!D44</f>
        <v>0</v>
      </c>
      <c r="CQ29" s="295">
        <f t="shared" si="39"/>
        <v>0</v>
      </c>
      <c r="CR29" s="299">
        <f>Яро!C45</f>
        <v>658.58882000000006</v>
      </c>
      <c r="CS29" s="295">
        <f>Яро!D45</f>
        <v>0</v>
      </c>
      <c r="CT29" s="295">
        <f t="shared" si="9"/>
        <v>0</v>
      </c>
      <c r="CU29" s="295"/>
      <c r="CV29" s="295"/>
      <c r="CW29" s="295"/>
      <c r="CX29" s="300"/>
      <c r="CY29" s="300"/>
      <c r="CZ29" s="295" t="e">
        <f t="shared" si="40"/>
        <v>#DIV/0!</v>
      </c>
      <c r="DA29" s="295"/>
      <c r="DB29" s="295"/>
      <c r="DC29" s="295"/>
      <c r="DD29" s="295"/>
      <c r="DE29" s="295"/>
      <c r="DF29" s="295"/>
      <c r="DG29" s="304">
        <f t="shared" si="41"/>
        <v>11542.60103</v>
      </c>
      <c r="DH29" s="304">
        <f t="shared" si="41"/>
        <v>461.38499000000002</v>
      </c>
      <c r="DI29" s="295">
        <f t="shared" si="42"/>
        <v>3.9972358812440048</v>
      </c>
      <c r="DJ29" s="300">
        <f t="shared" si="43"/>
        <v>1365.1229999999998</v>
      </c>
      <c r="DK29" s="300">
        <f t="shared" si="43"/>
        <v>248.04571000000001</v>
      </c>
      <c r="DL29" s="295">
        <f t="shared" si="44"/>
        <v>18.170209570859186</v>
      </c>
      <c r="DM29" s="295">
        <f>Яро!C55</f>
        <v>1333.1</v>
      </c>
      <c r="DN29" s="295">
        <f>Яро!D55</f>
        <v>248.04571000000001</v>
      </c>
      <c r="DO29" s="295">
        <f t="shared" si="45"/>
        <v>18.606684419773462</v>
      </c>
      <c r="DP29" s="295">
        <f>Яро!C58</f>
        <v>24</v>
      </c>
      <c r="DQ29" s="295">
        <f>Яро!D58</f>
        <v>0</v>
      </c>
      <c r="DR29" s="295">
        <f t="shared" si="46"/>
        <v>0</v>
      </c>
      <c r="DS29" s="295">
        <f>Яро!C59</f>
        <v>5</v>
      </c>
      <c r="DT29" s="295">
        <f>Яро!D59</f>
        <v>0</v>
      </c>
      <c r="DU29" s="295">
        <f t="shared" si="47"/>
        <v>0</v>
      </c>
      <c r="DV29" s="295">
        <f>Яро!C60</f>
        <v>3.0230000000000001</v>
      </c>
      <c r="DW29" s="295">
        <f>Яро!D60</f>
        <v>0</v>
      </c>
      <c r="DX29" s="295">
        <f t="shared" si="48"/>
        <v>0</v>
      </c>
      <c r="DY29" s="295">
        <f>Яро!C61</f>
        <v>90.341999999999999</v>
      </c>
      <c r="DZ29" s="295">
        <f>Яро!D61</f>
        <v>18.193280000000001</v>
      </c>
      <c r="EA29" s="295">
        <f t="shared" si="49"/>
        <v>20.138230280489697</v>
      </c>
      <c r="EB29" s="295">
        <f>Яро!C63</f>
        <v>12</v>
      </c>
      <c r="EC29" s="295">
        <f>Яро!D63</f>
        <v>1.5</v>
      </c>
      <c r="ED29" s="295">
        <f t="shared" si="50"/>
        <v>12.5</v>
      </c>
      <c r="EE29" s="300">
        <f>Яро!C69</f>
        <v>5688.1520299999993</v>
      </c>
      <c r="EF29" s="300">
        <f>Яро!D69</f>
        <v>19.98</v>
      </c>
      <c r="EG29" s="295">
        <f t="shared" si="51"/>
        <v>0.35125643433268083</v>
      </c>
      <c r="EH29" s="300">
        <f>Яро!C74</f>
        <v>3325.431</v>
      </c>
      <c r="EI29" s="300">
        <f>Яро!D74</f>
        <v>0</v>
      </c>
      <c r="EJ29" s="295">
        <f t="shared" si="52"/>
        <v>0</v>
      </c>
      <c r="EK29" s="300">
        <f>Яро!C79</f>
        <v>1059.5530000000001</v>
      </c>
      <c r="EL29" s="308">
        <f>Яро!D78</f>
        <v>173.666</v>
      </c>
      <c r="EM29" s="295">
        <f t="shared" si="10"/>
        <v>16.390496747213209</v>
      </c>
      <c r="EN29" s="295">
        <f>Яро!C80</f>
        <v>0</v>
      </c>
      <c r="EO29" s="295">
        <f>Яро!D80</f>
        <v>0</v>
      </c>
      <c r="EP29" s="295" t="e">
        <f t="shared" si="11"/>
        <v>#DIV/0!</v>
      </c>
      <c r="EQ29" s="296">
        <f>Яро!C85</f>
        <v>2</v>
      </c>
      <c r="ER29" s="296">
        <f>Яро!D85</f>
        <v>0</v>
      </c>
      <c r="ES29" s="295">
        <f t="shared" si="53"/>
        <v>0</v>
      </c>
      <c r="ET29" s="295">
        <f>Яро!C91</f>
        <v>0</v>
      </c>
      <c r="EU29" s="295">
        <f>Яро!D91</f>
        <v>0</v>
      </c>
      <c r="EV29" s="295" t="e">
        <f t="shared" si="54"/>
        <v>#DIV/0!</v>
      </c>
      <c r="EW29" s="309">
        <f t="shared" si="12"/>
        <v>-145.50009999999929</v>
      </c>
      <c r="EX29" s="309">
        <f t="shared" si="13"/>
        <v>141.88837999999998</v>
      </c>
      <c r="EY29" s="295">
        <f t="shared" si="56"/>
        <v>-97.517719919093309</v>
      </c>
      <c r="EZ29" s="164"/>
      <c r="FA29" s="165"/>
      <c r="FC29" s="165"/>
    </row>
    <row r="30" spans="1:170" s="162" customFormat="1" ht="17.25" customHeight="1">
      <c r="A30" s="345"/>
      <c r="B30" s="346"/>
      <c r="C30" s="327"/>
      <c r="D30" s="328"/>
      <c r="E30" s="295"/>
      <c r="F30" s="296"/>
      <c r="G30" s="300"/>
      <c r="H30" s="295"/>
      <c r="I30" s="300"/>
      <c r="J30" s="447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330"/>
      <c r="W30" s="295"/>
      <c r="X30" s="300"/>
      <c r="Y30" s="300"/>
      <c r="Z30" s="295"/>
      <c r="AA30" s="300"/>
      <c r="AB30" s="300"/>
      <c r="AC30" s="295"/>
      <c r="AD30" s="300"/>
      <c r="AE30" s="300"/>
      <c r="AF30" s="295"/>
      <c r="AG30" s="295"/>
      <c r="AH30" s="295"/>
      <c r="AI30" s="295"/>
      <c r="AJ30" s="295"/>
      <c r="AK30" s="295"/>
      <c r="AL30" s="295"/>
      <c r="AM30" s="300"/>
      <c r="AN30" s="300"/>
      <c r="AO30" s="295"/>
      <c r="AP30" s="300"/>
      <c r="AQ30" s="300"/>
      <c r="AR30" s="295"/>
      <c r="AS30" s="300"/>
      <c r="AT30" s="303"/>
      <c r="AU30" s="295"/>
      <c r="AV30" s="300"/>
      <c r="AW30" s="300"/>
      <c r="AX30" s="295"/>
      <c r="AY30" s="295"/>
      <c r="AZ30" s="305"/>
      <c r="BA30" s="295" t="e">
        <f t="shared" si="28"/>
        <v>#DIV/0!</v>
      </c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475"/>
      <c r="BS30" s="295"/>
      <c r="BT30" s="295"/>
      <c r="BU30" s="295"/>
      <c r="BV30" s="307"/>
      <c r="BW30" s="307"/>
      <c r="BX30" s="307"/>
      <c r="BY30" s="307"/>
      <c r="BZ30" s="300"/>
      <c r="CA30" s="300"/>
      <c r="CB30" s="295"/>
      <c r="CC30" s="295"/>
      <c r="CD30" s="295"/>
      <c r="CE30" s="295"/>
      <c r="CF30" s="295"/>
      <c r="CG30" s="295"/>
      <c r="CH30" s="452"/>
      <c r="CI30" s="295"/>
      <c r="CJ30" s="295"/>
      <c r="CK30" s="295"/>
      <c r="CL30" s="295"/>
      <c r="CM30" s="295"/>
      <c r="CN30" s="295"/>
      <c r="CO30" s="295"/>
      <c r="CP30" s="295"/>
      <c r="CQ30" s="295"/>
      <c r="CR30" s="330"/>
      <c r="CS30" s="295"/>
      <c r="CT30" s="295"/>
      <c r="CU30" s="295"/>
      <c r="CV30" s="295"/>
      <c r="CW30" s="295"/>
      <c r="CX30" s="300"/>
      <c r="CY30" s="300"/>
      <c r="CZ30" s="295"/>
      <c r="DA30" s="295"/>
      <c r="DB30" s="295"/>
      <c r="DC30" s="295"/>
      <c r="DD30" s="295"/>
      <c r="DE30" s="295"/>
      <c r="DF30" s="295"/>
      <c r="DG30" s="300"/>
      <c r="DH30" s="300"/>
      <c r="DI30" s="295"/>
      <c r="DJ30" s="300"/>
      <c r="DK30" s="329"/>
      <c r="DL30" s="295"/>
      <c r="DM30" s="295"/>
      <c r="DN30" s="295"/>
      <c r="DO30" s="295"/>
      <c r="DP30" s="295"/>
      <c r="DQ30" s="295"/>
      <c r="DR30" s="295"/>
      <c r="DS30" s="295"/>
      <c r="DT30" s="295"/>
      <c r="DU30" s="295"/>
      <c r="DV30" s="295"/>
      <c r="DW30" s="295"/>
      <c r="DX30" s="295"/>
      <c r="DY30" s="295"/>
      <c r="DZ30" s="306"/>
      <c r="EA30" s="295"/>
      <c r="EB30" s="295"/>
      <c r="EC30" s="295"/>
      <c r="ED30" s="295"/>
      <c r="EE30" s="300"/>
      <c r="EF30" s="300"/>
      <c r="EG30" s="295"/>
      <c r="EH30" s="300"/>
      <c r="EI30" s="300"/>
      <c r="EJ30" s="295"/>
      <c r="EK30" s="300"/>
      <c r="EL30" s="300"/>
      <c r="EM30" s="295"/>
      <c r="EN30" s="295"/>
      <c r="EO30" s="295"/>
      <c r="EP30" s="295"/>
      <c r="EQ30" s="296"/>
      <c r="ER30" s="296"/>
      <c r="ES30" s="295"/>
      <c r="ET30" s="295"/>
      <c r="EU30" s="295"/>
      <c r="EV30" s="295"/>
      <c r="EW30" s="309"/>
      <c r="EX30" s="309"/>
      <c r="EY30" s="295" t="e">
        <f t="shared" si="56"/>
        <v>#DIV/0!</v>
      </c>
      <c r="FA30" s="165"/>
      <c r="FC30" s="165"/>
    </row>
    <row r="31" spans="1:170" s="168" customFormat="1" ht="18.75">
      <c r="A31" s="507" t="s">
        <v>176</v>
      </c>
      <c r="B31" s="508"/>
      <c r="C31" s="331">
        <f>SUM(C14:C29)</f>
        <v>192729.00426000002</v>
      </c>
      <c r="D31" s="331">
        <f>SUM(D14:D29)</f>
        <v>18907.531029999998</v>
      </c>
      <c r="E31" s="332">
        <f>D31/C31*100</f>
        <v>9.8104232430386524</v>
      </c>
      <c r="F31" s="333">
        <f>SUM(F14:F29)</f>
        <v>42192.561689999995</v>
      </c>
      <c r="G31" s="334">
        <f>SUM(G14:G29)</f>
        <v>7472.4245000000001</v>
      </c>
      <c r="H31" s="332">
        <f>G31/F31*100</f>
        <v>17.710288735018974</v>
      </c>
      <c r="I31" s="334">
        <f>SUM(I14:I29)</f>
        <v>5728.5</v>
      </c>
      <c r="J31" s="448">
        <f>SUM(J14:J29)</f>
        <v>1261.8709600000002</v>
      </c>
      <c r="K31" s="332">
        <f>J31/I31*100</f>
        <v>22.027947281138172</v>
      </c>
      <c r="L31" s="332">
        <f>SUM(L14:L29)</f>
        <v>3471.43</v>
      </c>
      <c r="M31" s="332">
        <f>SUM(M14:M29)</f>
        <v>977.44809000000009</v>
      </c>
      <c r="N31" s="332">
        <f>M31/L31*100</f>
        <v>28.156929276983838</v>
      </c>
      <c r="O31" s="332">
        <f>SUM(O14:O29)</f>
        <v>37.200000000000003</v>
      </c>
      <c r="P31" s="332">
        <f>SUM(P14:P29)</f>
        <v>6.3720099999999995</v>
      </c>
      <c r="Q31" s="332">
        <f>P31/O31*100</f>
        <v>17.129059139784943</v>
      </c>
      <c r="R31" s="332">
        <f>SUM(R14:R29)</f>
        <v>5798.0699999999988</v>
      </c>
      <c r="S31" s="332">
        <f>SUM(S14:S29)</f>
        <v>1371.9005</v>
      </c>
      <c r="T31" s="332">
        <f>S31/R31*100</f>
        <v>23.661330408222049</v>
      </c>
      <c r="U31" s="332">
        <f>SUM(U14:U29)</f>
        <v>0</v>
      </c>
      <c r="V31" s="332">
        <f>SUM(V14:V29)</f>
        <v>-201.89873000000003</v>
      </c>
      <c r="W31" s="332" t="e">
        <f>V31/U31*100</f>
        <v>#DIV/0!</v>
      </c>
      <c r="X31" s="334">
        <f>SUM(X14:X29)</f>
        <v>535</v>
      </c>
      <c r="Y31" s="334">
        <f>SUM(Y14:Y29)</f>
        <v>221.14564999999996</v>
      </c>
      <c r="Z31" s="332">
        <f>Y31/X31*100</f>
        <v>41.335635514018684</v>
      </c>
      <c r="AA31" s="334">
        <f>SUM(AA14:AA29)</f>
        <v>5373</v>
      </c>
      <c r="AB31" s="334">
        <f>SUM(AB14:AB29)</f>
        <v>591.49522999999999</v>
      </c>
      <c r="AC31" s="332">
        <f>AB31/AA31*100</f>
        <v>11.008658663688815</v>
      </c>
      <c r="AD31" s="334">
        <f>SUM(AD14:AD29)</f>
        <v>17020.808690000002</v>
      </c>
      <c r="AE31" s="334">
        <f>SUM(AE14:AE29)</f>
        <v>1938.60995</v>
      </c>
      <c r="AF31" s="332">
        <f>AE31/AD31*100</f>
        <v>11.389646551511765</v>
      </c>
      <c r="AG31" s="335">
        <f>SUM(AG14:AG29)</f>
        <v>116</v>
      </c>
      <c r="AH31" s="332">
        <f>SUM(AH14:AH29)</f>
        <v>20.499999999999996</v>
      </c>
      <c r="AI31" s="295">
        <f t="shared" si="24"/>
        <v>17.672413793103445</v>
      </c>
      <c r="AJ31" s="334">
        <f>AJ14+AJ15+AJ16+AJ17+AJ18+AJ19+AJ20+AJ21+AJ22+AJ23+AJ24+AJ25+AJ26+AJ27+AJ28+AJ29</f>
        <v>0</v>
      </c>
      <c r="AK31" s="334">
        <f>AK14+AK15+AK16+AK17+AK18+AK19+AK20+AK21+AK22+AK23+AK24+AK25+AK26+AK27+AK28+AK29</f>
        <v>0</v>
      </c>
      <c r="AL31" s="295" t="e">
        <f>AK31/AJ31*100</f>
        <v>#DIV/0!</v>
      </c>
      <c r="AM31" s="334">
        <f>SUM(AM14:AM29)</f>
        <v>0</v>
      </c>
      <c r="AN31" s="334">
        <f>SUM(AN14:AN29)</f>
        <v>0</v>
      </c>
      <c r="AO31" s="332" t="e">
        <f>AN31/AM31*100</f>
        <v>#DIV/0!</v>
      </c>
      <c r="AP31" s="334">
        <f>SUM(AP14:AP29)</f>
        <v>2889.7529999999997</v>
      </c>
      <c r="AQ31" s="334">
        <f>SUM(AQ14:AQ29)</f>
        <v>834.66240999999991</v>
      </c>
      <c r="AR31" s="332">
        <f>AQ31/AP31*100</f>
        <v>28.883520840708531</v>
      </c>
      <c r="AS31" s="334">
        <f>SUM(AS14:AS29)</f>
        <v>390.79999999999995</v>
      </c>
      <c r="AT31" s="334">
        <f>SUM(AT14:AT29)</f>
        <v>98.290719999999993</v>
      </c>
      <c r="AU31" s="332">
        <f>AT31/AS31*100</f>
        <v>25.151156601842377</v>
      </c>
      <c r="AV31" s="334">
        <f>SUM(AV14:AV29)</f>
        <v>0</v>
      </c>
      <c r="AW31" s="334">
        <f>SUM(AW14:AW29)</f>
        <v>0</v>
      </c>
      <c r="AX31" s="332" t="e">
        <f>AW31/AV31*100</f>
        <v>#DIV/0!</v>
      </c>
      <c r="AY31" s="332">
        <f>SUM(AY14:AY29)</f>
        <v>625</v>
      </c>
      <c r="AZ31" s="332">
        <f>SUM(AZ14:AZ29)</f>
        <v>183.64371</v>
      </c>
      <c r="BA31" s="295">
        <f t="shared" si="28"/>
        <v>29.382993600000002</v>
      </c>
      <c r="BB31" s="295">
        <f>SUM(BB14:BB29)</f>
        <v>0</v>
      </c>
      <c r="BC31" s="295">
        <f>SUM(BC14:BC29)</f>
        <v>0</v>
      </c>
      <c r="BD31" s="295" t="e">
        <f>BC31/BB31*100</f>
        <v>#DIV/0!</v>
      </c>
      <c r="BE31" s="333">
        <f>SUM(BE14:BE29)</f>
        <v>207</v>
      </c>
      <c r="BF31" s="334">
        <f>SUM(BF14:BF29)</f>
        <v>149.80999999999997</v>
      </c>
      <c r="BG31" s="334">
        <f t="shared" si="29"/>
        <v>72.371980676328491</v>
      </c>
      <c r="BH31" s="334">
        <f>SUM(BH14:BH29)</f>
        <v>0</v>
      </c>
      <c r="BI31" s="334">
        <f>SUM(BI14:BI29)</f>
        <v>0</v>
      </c>
      <c r="BJ31" s="332" t="e">
        <f>BI31/BH31*100</f>
        <v>#DIV/0!</v>
      </c>
      <c r="BK31" s="332">
        <f>SUM(BK14:BK29)</f>
        <v>0</v>
      </c>
      <c r="BL31" s="332">
        <f>BL15+BL27+BL28+BL19+BL22+BL26+BL18</f>
        <v>2.3295599999999999</v>
      </c>
      <c r="BM31" s="332" t="e">
        <f>BL31/BK31*100</f>
        <v>#DIV/0!</v>
      </c>
      <c r="BN31" s="332">
        <f>BN14+BN15+BN16+BN17+BN18+BN19+BN20+BN21+BN22+BN23+BN24+BN25+BN26+BN27+BN28+BN29</f>
        <v>0</v>
      </c>
      <c r="BO31" s="332">
        <f>BO14+BO15+BO16+BO17+BO18+BO19+BO20+BO21+BO22+BO23+BO24+BO25+BO26+BO27+BO28+BO29</f>
        <v>2.3295599999999999</v>
      </c>
      <c r="BP31" s="332" t="e">
        <f>BO31/BN31*100</f>
        <v>#DIV/0!</v>
      </c>
      <c r="BQ31" s="334">
        <f>SUM(BQ14:BQ29)</f>
        <v>0</v>
      </c>
      <c r="BR31" s="448">
        <f>SUM(BR14:BR29)</f>
        <v>16.244440000000001</v>
      </c>
      <c r="BS31" s="332" t="e">
        <f>BR31/BQ31*100</f>
        <v>#DIV/0!</v>
      </c>
      <c r="BT31" s="332">
        <f t="shared" ref="BT31:BY31" si="57">SUM(BT14:BT29)</f>
        <v>0</v>
      </c>
      <c r="BU31" s="332"/>
      <c r="BV31" s="332" t="e">
        <f t="shared" si="57"/>
        <v>#DIV/0!</v>
      </c>
      <c r="BW31" s="332">
        <f t="shared" si="57"/>
        <v>0</v>
      </c>
      <c r="BX31" s="332">
        <f t="shared" si="57"/>
        <v>0</v>
      </c>
      <c r="BY31" s="336" t="e">
        <f t="shared" si="57"/>
        <v>#DIV/0!</v>
      </c>
      <c r="BZ31" s="333">
        <f>SUM(BZ14:BZ29)</f>
        <v>150536.44257000001</v>
      </c>
      <c r="CA31" s="334">
        <f>SUM(CA14:CA29)</f>
        <v>11435.106529999997</v>
      </c>
      <c r="CB31" s="334">
        <f t="shared" si="55"/>
        <v>7.596238050253266</v>
      </c>
      <c r="CC31" s="334">
        <f>SUM(CC14:CC29)</f>
        <v>29508.000000000004</v>
      </c>
      <c r="CD31" s="334">
        <f>SUM(CD14:CD29)</f>
        <v>7376.8755000000001</v>
      </c>
      <c r="CE31" s="334">
        <f>CD31/CC31*100</f>
        <v>24.999578080520536</v>
      </c>
      <c r="CF31" s="333">
        <f>SUM(CF14:CF29)</f>
        <v>5152.2529999999997</v>
      </c>
      <c r="CG31" s="334">
        <f>SUM(CG14:CG29)</f>
        <v>0</v>
      </c>
      <c r="CH31" s="334">
        <f>CG31/CF31*100</f>
        <v>0</v>
      </c>
      <c r="CI31" s="334">
        <f>SUM(CI14:CI29)</f>
        <v>51493.442339999994</v>
      </c>
      <c r="CJ31" s="334">
        <f>SUM(CJ14:CJ29)</f>
        <v>1822.5920000000003</v>
      </c>
      <c r="CK31" s="334">
        <f>CJ31/CI31*100</f>
        <v>3.5394642835602674</v>
      </c>
      <c r="CL31" s="334">
        <f>SUM(CL14:CL29)</f>
        <v>2237.1999999999998</v>
      </c>
      <c r="CM31" s="334">
        <f>SUM(CM14:CM29)</f>
        <v>537.59999999999991</v>
      </c>
      <c r="CN31" s="334">
        <f t="shared" si="8"/>
        <v>24.030037546933666</v>
      </c>
      <c r="CO31" s="334">
        <f>SUM(CO14:CO29)</f>
        <v>59220.726340000001</v>
      </c>
      <c r="CP31" s="334">
        <f>SUM(CP14:CP29)</f>
        <v>0</v>
      </c>
      <c r="CQ31" s="334">
        <f>CP31/CO31*100</f>
        <v>0</v>
      </c>
      <c r="CR31" s="334">
        <f>SUM(CR14:CR29)</f>
        <v>2924.82089</v>
      </c>
      <c r="CS31" s="334">
        <f>SUM(CS14:CS29)</f>
        <v>1698.0390299999999</v>
      </c>
      <c r="CT31" s="334">
        <f t="shared" si="9"/>
        <v>58.05617143277447</v>
      </c>
      <c r="CU31" s="334">
        <f>SUM(CU14:CU29)</f>
        <v>0</v>
      </c>
      <c r="CV31" s="334">
        <f>SUM(CV14:CV29)</f>
        <v>0</v>
      </c>
      <c r="CW31" s="334" t="e">
        <f>CV31/CU31*100</f>
        <v>#DIV/0!</v>
      </c>
      <c r="CX31" s="334">
        <f>SUM(CX14:CX29)</f>
        <v>0</v>
      </c>
      <c r="CY31" s="334">
        <f>SUM(CY14:CY29)</f>
        <v>0</v>
      </c>
      <c r="CZ31" s="332" t="e">
        <f>CY31/CX31*100</f>
        <v>#DIV/0!</v>
      </c>
      <c r="DA31" s="332">
        <f>DA14+DA15+DA16+DA17+DA18+DA19+DA20+DA21+DA22+DA23+DA24+DA25+DA26+DA27+DA28+DA29</f>
        <v>0</v>
      </c>
      <c r="DB31" s="332">
        <f>DB14+DB15+DB16+DB17+DB18+DB19+DB20+DB21+DB22+DB23+DB24+DB25+DB26+DB27+DB28+DB29</f>
        <v>0</v>
      </c>
      <c r="DC31" s="332" t="e">
        <f>DB31/DA31*100</f>
        <v>#DIV/0!</v>
      </c>
      <c r="DD31" s="332">
        <f>DD14+DD15+DD16+DD17+DD18+DD19+DD20+DD21+DD22+DD23+DD24+DD25+DD26+DD27+DD28+DD29</f>
        <v>0</v>
      </c>
      <c r="DE31" s="332">
        <f>DE14+DE15+DE16+DE17+DE18+DE19+DE20+DE21+DE22+DE23+DE24+DE25+DE26+DE27+DE28+DE29</f>
        <v>0</v>
      </c>
      <c r="DF31" s="332">
        <v>0</v>
      </c>
      <c r="DG31" s="333">
        <f>SUM(DG14:DG29)</f>
        <v>199204.09341</v>
      </c>
      <c r="DH31" s="333">
        <f>SUM(DH14:DH29)</f>
        <v>15993.686120000002</v>
      </c>
      <c r="DI31" s="332">
        <f>DH31/DG31*100</f>
        <v>8.0287939099132615</v>
      </c>
      <c r="DJ31" s="333">
        <f>SUM(DJ14:DJ29)</f>
        <v>23914.422999999999</v>
      </c>
      <c r="DK31" s="333">
        <f>SUM(DK14:DK29)</f>
        <v>4406.2869300000002</v>
      </c>
      <c r="DL31" s="332">
        <f>DK31/DJ31*100</f>
        <v>18.42522786353658</v>
      </c>
      <c r="DM31" s="334">
        <f>SUM(DM14:DM29)</f>
        <v>23100.461999999996</v>
      </c>
      <c r="DN31" s="333">
        <f>SUM(DN14:DN29)</f>
        <v>4398.0369300000002</v>
      </c>
      <c r="DO31" s="332">
        <f>DN31/DM31*100</f>
        <v>19.038740134288229</v>
      </c>
      <c r="DP31" s="334">
        <f>SUM(DP14:DP29)</f>
        <v>559.51700000000005</v>
      </c>
      <c r="DQ31" s="334">
        <f>SUM(DQ14:DQ29)</f>
        <v>0</v>
      </c>
      <c r="DR31" s="332">
        <f>DQ31/DP31*100</f>
        <v>0</v>
      </c>
      <c r="DS31" s="337">
        <f>SUM(DS14:DS29)</f>
        <v>130</v>
      </c>
      <c r="DT31" s="332">
        <f>SUM(DT14:DT29)</f>
        <v>0</v>
      </c>
      <c r="DU31" s="332">
        <f>DT31/DS31*100</f>
        <v>0</v>
      </c>
      <c r="DV31" s="332">
        <f>SUM(DV14:DV29)</f>
        <v>124.444</v>
      </c>
      <c r="DW31" s="332">
        <f>SUM(DW14:DW29)</f>
        <v>8.25</v>
      </c>
      <c r="DX31" s="295">
        <f>DW31/DV31*100</f>
        <v>6.6294879624570093</v>
      </c>
      <c r="DY31" s="332">
        <f>SUM(DY14:DY29)</f>
        <v>2168.2000000000003</v>
      </c>
      <c r="DZ31" s="337">
        <f>SUM(DZ14:DZ29)</f>
        <v>413.91275999999999</v>
      </c>
      <c r="EA31" s="334">
        <f t="shared" si="49"/>
        <v>19.090155889678069</v>
      </c>
      <c r="EB31" s="337">
        <f>SUM(EB14:EB29)</f>
        <v>268</v>
      </c>
      <c r="EC31" s="337">
        <f>SUM(EC14:EC29)</f>
        <v>9.4</v>
      </c>
      <c r="ED31" s="295">
        <f t="shared" si="50"/>
        <v>3.5074626865671643</v>
      </c>
      <c r="EE31" s="334">
        <f>SUM(EE14:EE29)</f>
        <v>69260.656489999994</v>
      </c>
      <c r="EF31" s="333">
        <f>SUM(EF14:EF29)</f>
        <v>3381.8230999999996</v>
      </c>
      <c r="EG31" s="332">
        <f>EF31/EE31*100</f>
        <v>4.8827476830056824</v>
      </c>
      <c r="EH31" s="334">
        <f>SUM(EH14:EH29)</f>
        <v>61143.470219999996</v>
      </c>
      <c r="EI31" s="333">
        <f>SUM(EI14:EI29)</f>
        <v>1597.2186799999999</v>
      </c>
      <c r="EJ31" s="332">
        <f>EI31/EH31*100</f>
        <v>2.612247349149559</v>
      </c>
      <c r="EK31" s="333">
        <f>SUM(EK14:EK29)</f>
        <v>42278.3197</v>
      </c>
      <c r="EL31" s="333">
        <f>SUM(EL14:EL29)</f>
        <v>6135.77765</v>
      </c>
      <c r="EM31" s="332">
        <f>EL31/EK31*100</f>
        <v>14.512822868880477</v>
      </c>
      <c r="EN31" s="333">
        <f>SUM(EN14:EN29)</f>
        <v>0</v>
      </c>
      <c r="EO31" s="333">
        <f>SUM(EO14:EO29)</f>
        <v>0</v>
      </c>
      <c r="EP31" s="332" t="e">
        <f>EO31/EN31*100</f>
        <v>#DIV/0!</v>
      </c>
      <c r="EQ31" s="334">
        <f>SUM(EQ14:EQ29)</f>
        <v>171.024</v>
      </c>
      <c r="ER31" s="334">
        <f>SUM(ER14:ER29)</f>
        <v>49.266999999999996</v>
      </c>
      <c r="ES31" s="332">
        <f>ER31/EQ31*100</f>
        <v>28.80706801384601</v>
      </c>
      <c r="ET31" s="332">
        <f>SUM(ET14:ET29)</f>
        <v>0</v>
      </c>
      <c r="EU31" s="335">
        <f>SUM(EU14:EU29)</f>
        <v>0</v>
      </c>
      <c r="EV31" s="295" t="e">
        <f>EU31/ET31*100</f>
        <v>#DIV/0!</v>
      </c>
      <c r="EW31" s="337">
        <f>SUM(EW14:EW29)</f>
        <v>-6475.0891500000034</v>
      </c>
      <c r="EX31" s="332">
        <f>SUM(EX14:EX29)</f>
        <v>2913.8449099999998</v>
      </c>
      <c r="EY31" s="295">
        <f>EX31/EW31*100</f>
        <v>-45.000846204565356</v>
      </c>
    </row>
    <row r="32" spans="1:170" s="170" customFormat="1" ht="27.75" customHeight="1">
      <c r="C32" s="169">
        <v>192729.00425999999</v>
      </c>
      <c r="D32" s="169">
        <v>18907.531029999998</v>
      </c>
      <c r="E32" s="169"/>
      <c r="F32" s="169">
        <v>42192.561690000002</v>
      </c>
      <c r="G32" s="169">
        <v>7472.4245000000001</v>
      </c>
      <c r="H32" s="169"/>
      <c r="I32" s="169">
        <v>5728.5</v>
      </c>
      <c r="J32" s="169">
        <v>1261.87096</v>
      </c>
      <c r="K32" s="169"/>
      <c r="L32" s="169">
        <v>3471.43</v>
      </c>
      <c r="M32" s="169">
        <v>977.44808999999998</v>
      </c>
      <c r="N32" s="169"/>
      <c r="O32" s="169">
        <v>37.200000000000003</v>
      </c>
      <c r="P32" s="169">
        <v>6.3720100000000004</v>
      </c>
      <c r="Q32" s="169"/>
      <c r="R32" s="169">
        <v>5798.07</v>
      </c>
      <c r="S32" s="169">
        <v>1371.9005</v>
      </c>
      <c r="T32" s="169"/>
      <c r="U32" s="169" t="e">
        <f>#REF!-U31</f>
        <v>#REF!</v>
      </c>
      <c r="V32" s="169">
        <v>-201.89873</v>
      </c>
      <c r="W32" s="169"/>
      <c r="X32" s="169">
        <v>535</v>
      </c>
      <c r="Y32" s="169">
        <v>221.14564999999999</v>
      </c>
      <c r="Z32" s="169"/>
      <c r="AA32" s="169">
        <v>5373</v>
      </c>
      <c r="AB32" s="169">
        <v>591.49522999999999</v>
      </c>
      <c r="AC32" s="169"/>
      <c r="AD32" s="169">
        <v>17020.808690000002</v>
      </c>
      <c r="AE32" s="169">
        <v>1938.60995</v>
      </c>
      <c r="AF32" s="169"/>
      <c r="AG32" s="169">
        <v>116</v>
      </c>
      <c r="AH32" s="169">
        <v>20.5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2889.7530000000002</v>
      </c>
      <c r="AQ32" s="169">
        <v>834.66241000000002</v>
      </c>
      <c r="AR32" s="169"/>
      <c r="AS32" s="169">
        <v>390.8</v>
      </c>
      <c r="AT32" s="169">
        <v>98.290719999999993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183.64371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149.81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2.3295599999999999</v>
      </c>
      <c r="BP32" s="169"/>
      <c r="BQ32" s="169" t="e">
        <f>#REF!-BQ31</f>
        <v>#REF!</v>
      </c>
      <c r="BR32" s="169">
        <v>16.244440000000001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150536.44257000001</v>
      </c>
      <c r="CA32" s="169">
        <v>11435.106529999999</v>
      </c>
      <c r="CB32" s="169"/>
      <c r="CC32" s="169">
        <v>29508</v>
      </c>
      <c r="CD32" s="169">
        <v>7376.8755000000001</v>
      </c>
      <c r="CE32" s="169"/>
      <c r="CF32" s="169">
        <v>5152.2529999999997</v>
      </c>
      <c r="CG32" s="169">
        <v>0</v>
      </c>
      <c r="CH32" s="169"/>
      <c r="CI32" s="169">
        <v>51493.442340000001</v>
      </c>
      <c r="CJ32" s="169">
        <v>1822.5920000000001</v>
      </c>
      <c r="CK32" s="169"/>
      <c r="CL32" s="169">
        <v>2237.1999999999998</v>
      </c>
      <c r="CM32" s="169">
        <v>537.6</v>
      </c>
      <c r="CN32" s="169"/>
      <c r="CO32" s="169">
        <v>59220.726340000001</v>
      </c>
      <c r="CP32" s="169">
        <v>0</v>
      </c>
      <c r="CQ32" s="169"/>
      <c r="CR32" s="169">
        <v>2924.82089</v>
      </c>
      <c r="CS32" s="169">
        <v>1698.0390299999999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199204.09341</v>
      </c>
      <c r="DH32" s="169">
        <v>15993.68612</v>
      </c>
      <c r="DI32" s="169"/>
      <c r="DJ32" s="169">
        <v>23914.422999999999</v>
      </c>
      <c r="DK32" s="169">
        <v>4406.2869300000002</v>
      </c>
      <c r="DL32" s="169"/>
      <c r="DM32" s="169">
        <v>23100.462</v>
      </c>
      <c r="DN32" s="169">
        <v>4398.0369300000002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124.444</v>
      </c>
      <c r="DW32" s="169">
        <v>8.25</v>
      </c>
      <c r="DX32" s="169"/>
      <c r="DY32" s="169">
        <v>2168.1999999999998</v>
      </c>
      <c r="DZ32" s="169">
        <v>413.91275999999999</v>
      </c>
      <c r="EA32" s="169"/>
      <c r="EB32" s="169">
        <v>268</v>
      </c>
      <c r="EC32" s="169">
        <v>9.4</v>
      </c>
      <c r="ED32" s="169"/>
      <c r="EE32" s="169">
        <v>69260.656489999994</v>
      </c>
      <c r="EF32" s="169">
        <v>3381.8231000000001</v>
      </c>
      <c r="EG32" s="169"/>
      <c r="EH32" s="169">
        <v>61143.470220000003</v>
      </c>
      <c r="EI32" s="169">
        <v>1597.2186799999999</v>
      </c>
      <c r="EJ32" s="169"/>
      <c r="EK32" s="169">
        <v>42278.3197</v>
      </c>
      <c r="EL32" s="169">
        <v>6135.77765</v>
      </c>
      <c r="EM32" s="169"/>
      <c r="EN32" s="169">
        <v>0</v>
      </c>
      <c r="EO32" s="169">
        <v>0</v>
      </c>
      <c r="EP32" s="169"/>
      <c r="EQ32" s="169">
        <v>171.024</v>
      </c>
      <c r="ER32" s="169">
        <v>49.267000000000003</v>
      </c>
      <c r="ES32" s="169"/>
      <c r="ET32" s="169">
        <v>0</v>
      </c>
      <c r="EU32" s="169">
        <v>0</v>
      </c>
      <c r="EV32" s="169"/>
      <c r="EW32" s="169">
        <v>-6475.0891499999998</v>
      </c>
      <c r="EX32" s="169">
        <v>2913.8449099999998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8">AJ32-AJ31</f>
        <v>#REF!</v>
      </c>
      <c r="AK33" s="169" t="e">
        <f t="shared" si="58"/>
        <v>#REF!</v>
      </c>
      <c r="AL33" s="169" t="e">
        <f t="shared" si="58"/>
        <v>#DIV/0!</v>
      </c>
      <c r="AM33" s="169" t="e">
        <f t="shared" si="58"/>
        <v>#REF!</v>
      </c>
      <c r="AN33" s="169" t="e">
        <f t="shared" si="58"/>
        <v>#REF!</v>
      </c>
      <c r="AO33" s="169" t="e">
        <f t="shared" si="58"/>
        <v>#DIV/0!</v>
      </c>
      <c r="AP33" s="169">
        <f t="shared" si="58"/>
        <v>0</v>
      </c>
      <c r="AQ33" s="169">
        <f t="shared" si="58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9">BH32-BH31</f>
        <v>#REF!</v>
      </c>
      <c r="BI33" s="169" t="e">
        <f t="shared" si="59"/>
        <v>#REF!</v>
      </c>
      <c r="BJ33" s="169" t="e">
        <f t="shared" si="59"/>
        <v>#REF!</v>
      </c>
      <c r="BK33" s="169" t="e">
        <f t="shared" si="59"/>
        <v>#REF!</v>
      </c>
      <c r="BL33" s="169" t="e">
        <f t="shared" si="59"/>
        <v>#REF!</v>
      </c>
      <c r="BM33" s="169" t="e">
        <f t="shared" si="59"/>
        <v>#REF!</v>
      </c>
      <c r="BN33" s="169">
        <f t="shared" si="59"/>
        <v>0</v>
      </c>
      <c r="BO33" s="169">
        <f t="shared" si="59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60">BT32-BT31</f>
        <v>#REF!</v>
      </c>
      <c r="BU33" s="169" t="e">
        <f t="shared" si="60"/>
        <v>#REF!</v>
      </c>
      <c r="BV33" s="169" t="e">
        <f t="shared" si="60"/>
        <v>#REF!</v>
      </c>
      <c r="BW33" s="169" t="e">
        <f t="shared" si="60"/>
        <v>#REF!</v>
      </c>
      <c r="BX33" s="169" t="e">
        <f t="shared" si="60"/>
        <v>#REF!</v>
      </c>
      <c r="BY33" s="169" t="e">
        <f t="shared" si="60"/>
        <v>#REF!</v>
      </c>
      <c r="BZ33" s="169">
        <f t="shared" si="60"/>
        <v>0</v>
      </c>
      <c r="CA33" s="169">
        <f t="shared" si="60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1">CX32-CX31</f>
        <v>#REF!</v>
      </c>
      <c r="CY33" s="169" t="e">
        <f t="shared" si="61"/>
        <v>#REF!</v>
      </c>
      <c r="CZ33" s="169" t="e">
        <f t="shared" si="61"/>
        <v>#REF!</v>
      </c>
      <c r="DA33" s="169" t="e">
        <f t="shared" si="61"/>
        <v>#REF!</v>
      </c>
      <c r="DB33" s="169" t="e">
        <f t="shared" si="61"/>
        <v>#REF!</v>
      </c>
      <c r="DC33" s="169" t="e">
        <f t="shared" si="61"/>
        <v>#REF!</v>
      </c>
      <c r="DD33" s="169" t="e">
        <f t="shared" si="61"/>
        <v>#REF!</v>
      </c>
      <c r="DE33" s="169" t="e">
        <f t="shared" si="61"/>
        <v>#REF!</v>
      </c>
      <c r="DF33" s="169">
        <f t="shared" si="61"/>
        <v>0</v>
      </c>
      <c r="DG33" s="169">
        <f t="shared" si="61"/>
        <v>0</v>
      </c>
      <c r="DH33" s="169">
        <f t="shared" si="61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fitToPage="1" printArea="1" hiddenColumns="1" view="pageBreakPreview" topLeftCell="DZ4">
      <selection activeCell="CP12" sqref="CP12"/>
      <colBreaks count="6" manualBreakCount="6">
        <brk id="17" max="29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28000000000000003" bottom="0.32" header="0.31496062992125984" footer="0.31496062992125984"/>
      <pageSetup paperSize="9" scale="68" fitToWidth="11" orientation="landscape" r:id="rId1"/>
    </customSheetView>
    <customSheetView guid="{B30CE22D-C12F-4E12-8BB9-3AAE0A6991CC}" scale="75" showPageBreaks="1" fitToPage="1" printArea="1" hiddenColumns="1" view="pageBreakPreview" topLeftCell="A10">
      <selection activeCell="G14" sqref="G14:G31"/>
      <colBreaks count="6" manualBreakCount="6">
        <brk id="17" max="30" man="1"/>
        <brk id="35" max="13" man="1"/>
        <brk id="59" max="13" man="1"/>
        <brk id="92" max="13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3" fitToWidth="7" orientation="landscape" r:id="rId2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</customSheetViews>
  <mergeCells count="69"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CO9:CQ11"/>
    <mergeCell ref="CU9:CW11"/>
    <mergeCell ref="DD9:DF11"/>
    <mergeCell ref="EB9:ED11"/>
    <mergeCell ref="DM11:DO11"/>
    <mergeCell ref="DV11:DX11"/>
  </mergeCells>
  <phoneticPr fontId="14" type="noConversion"/>
  <pageMargins left="0.70866141732283472" right="0.19685039370078741" top="0.28000000000000003" bottom="0.32" header="0.31496062992125984" footer="0.31496062992125984"/>
  <pageSetup paperSize="9" scale="68" fitToWidth="11" orientation="landscape" r:id="rId10"/>
  <colBreaks count="6" manualBreakCount="6">
    <brk id="17" max="29" man="1"/>
    <brk id="35" max="30" man="1"/>
    <brk id="59" max="30" man="1"/>
    <brk id="92" max="30" man="1"/>
    <brk id="116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6"/>
  <sheetViews>
    <sheetView view="pageBreakPreview" topLeftCell="A40" zoomScale="60" workbookViewId="0">
      <selection activeCell="D61" sqref="D61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30" t="s">
        <v>399</v>
      </c>
      <c r="B1" s="430"/>
      <c r="C1" s="430"/>
      <c r="D1" s="430"/>
      <c r="E1" s="430"/>
      <c r="F1" s="430"/>
    </row>
    <row r="2" spans="1:6" ht="20.25">
      <c r="A2" s="430" t="s">
        <v>433</v>
      </c>
      <c r="B2" s="430"/>
      <c r="C2" s="430"/>
      <c r="D2" s="430"/>
      <c r="E2" s="430"/>
      <c r="F2" s="430"/>
    </row>
    <row r="3" spans="1:6" ht="101.25">
      <c r="A3" s="354" t="s">
        <v>0</v>
      </c>
      <c r="B3" s="354" t="s">
        <v>1</v>
      </c>
      <c r="C3" s="355" t="s">
        <v>402</v>
      </c>
      <c r="D3" s="356" t="s">
        <v>413</v>
      </c>
      <c r="E3" s="355" t="s">
        <v>2</v>
      </c>
      <c r="F3" s="357" t="s">
        <v>3</v>
      </c>
    </row>
    <row r="4" spans="1:6" s="6" customFormat="1" ht="20.25">
      <c r="A4" s="358"/>
      <c r="B4" s="359" t="s">
        <v>4</v>
      </c>
      <c r="C4" s="360">
        <f>C5+C12+C17+C22+C24+C28+C7</f>
        <v>147500</v>
      </c>
      <c r="D4" s="360">
        <f>D5+D12+D17+D22+D24+D28+D7</f>
        <v>31386.518749999999</v>
      </c>
      <c r="E4" s="360">
        <f>SUM(D4/C4*100)</f>
        <v>21.278995762711865</v>
      </c>
      <c r="F4" s="360">
        <f>SUM(D4-C4)</f>
        <v>-116113.48125</v>
      </c>
    </row>
    <row r="5" spans="1:6" s="6" customFormat="1" ht="20.25">
      <c r="A5" s="358">
        <v>1010000</v>
      </c>
      <c r="B5" s="359" t="s">
        <v>5</v>
      </c>
      <c r="C5" s="360">
        <f>C6</f>
        <v>123798.5</v>
      </c>
      <c r="D5" s="360">
        <f>D6</f>
        <v>26258.208279999999</v>
      </c>
      <c r="E5" s="360">
        <f t="shared" ref="E5:E69" si="0">SUM(D5/C5*100)</f>
        <v>21.210441386608075</v>
      </c>
      <c r="F5" s="360">
        <f t="shared" ref="F5:F70" si="1">SUM(D5-C5)</f>
        <v>-97540.291720000008</v>
      </c>
    </row>
    <row r="6" spans="1:6" ht="20.25">
      <c r="A6" s="361">
        <v>1010200001</v>
      </c>
      <c r="B6" s="362" t="s">
        <v>224</v>
      </c>
      <c r="C6" s="363">
        <v>123798.5</v>
      </c>
      <c r="D6" s="364">
        <v>26258.208279999999</v>
      </c>
      <c r="E6" s="363">
        <f t="shared" si="0"/>
        <v>21.210441386608075</v>
      </c>
      <c r="F6" s="363">
        <f t="shared" si="1"/>
        <v>-97540.291720000008</v>
      </c>
    </row>
    <row r="7" spans="1:6" ht="40.5">
      <c r="A7" s="358">
        <v>1030000</v>
      </c>
      <c r="B7" s="365" t="s">
        <v>266</v>
      </c>
      <c r="C7" s="360">
        <f>C8+C10+C9</f>
        <v>5337</v>
      </c>
      <c r="D7" s="360">
        <f>D8+D10+D9+D11</f>
        <v>1235.1245699999999</v>
      </c>
      <c r="E7" s="363">
        <f t="shared" si="0"/>
        <v>23.142675098369871</v>
      </c>
      <c r="F7" s="363">
        <f t="shared" si="1"/>
        <v>-4101.8754300000001</v>
      </c>
    </row>
    <row r="8" spans="1:6" ht="20.25">
      <c r="A8" s="361">
        <v>1030223001</v>
      </c>
      <c r="B8" s="362" t="s">
        <v>268</v>
      </c>
      <c r="C8" s="363">
        <v>1814.9069999999999</v>
      </c>
      <c r="D8" s="364">
        <v>560.52464999999995</v>
      </c>
      <c r="E8" s="363">
        <f t="shared" si="0"/>
        <v>30.884483337162727</v>
      </c>
      <c r="F8" s="363">
        <f>SUM(D8-C8)</f>
        <v>-1254.3823499999999</v>
      </c>
    </row>
    <row r="9" spans="1:6" ht="20.25">
      <c r="A9" s="361">
        <v>1030224001</v>
      </c>
      <c r="B9" s="362" t="s">
        <v>274</v>
      </c>
      <c r="C9" s="363">
        <v>21.959</v>
      </c>
      <c r="D9" s="364">
        <v>3.6540400000000002</v>
      </c>
      <c r="E9" s="363">
        <f t="shared" si="0"/>
        <v>16.640284165945626</v>
      </c>
      <c r="F9" s="363">
        <f>SUM(D9-C9)</f>
        <v>-18.304960000000001</v>
      </c>
    </row>
    <row r="10" spans="1:6" ht="20.25">
      <c r="A10" s="361">
        <v>1030225001</v>
      </c>
      <c r="B10" s="362" t="s">
        <v>267</v>
      </c>
      <c r="C10" s="363">
        <v>3500.134</v>
      </c>
      <c r="D10" s="364">
        <v>786.72616000000005</v>
      </c>
      <c r="E10" s="363">
        <f t="shared" si="0"/>
        <v>22.477029736575801</v>
      </c>
      <c r="F10" s="363">
        <f t="shared" si="1"/>
        <v>-2713.4078399999999</v>
      </c>
    </row>
    <row r="11" spans="1:6" ht="20.25">
      <c r="A11" s="361">
        <v>1030226001</v>
      </c>
      <c r="B11" s="362" t="s">
        <v>276</v>
      </c>
      <c r="C11" s="363">
        <v>0</v>
      </c>
      <c r="D11" s="364">
        <v>-115.78028</v>
      </c>
      <c r="E11" s="363" t="e">
        <f t="shared" si="0"/>
        <v>#DIV/0!</v>
      </c>
      <c r="F11" s="363">
        <f t="shared" si="1"/>
        <v>-115.78028</v>
      </c>
    </row>
    <row r="12" spans="1:6" s="6" customFormat="1" ht="20.25">
      <c r="A12" s="358">
        <v>1050000</v>
      </c>
      <c r="B12" s="359" t="s">
        <v>6</v>
      </c>
      <c r="C12" s="360">
        <f>SUM(C13:C16)</f>
        <v>12264.5</v>
      </c>
      <c r="D12" s="360">
        <f>SUM(D13:D16)</f>
        <v>2180.8487700000001</v>
      </c>
      <c r="E12" s="360">
        <f t="shared" si="0"/>
        <v>17.78179925802112</v>
      </c>
      <c r="F12" s="360">
        <f t="shared" si="1"/>
        <v>-10083.651229999999</v>
      </c>
    </row>
    <row r="13" spans="1:6" s="6" customFormat="1" ht="20.25">
      <c r="A13" s="361">
        <v>1050100000</v>
      </c>
      <c r="B13" s="366" t="s">
        <v>405</v>
      </c>
      <c r="C13" s="363">
        <v>1273.0999999999999</v>
      </c>
      <c r="D13" s="363">
        <v>345.60734000000002</v>
      </c>
      <c r="E13" s="363">
        <f t="shared" si="0"/>
        <v>27.146912261409163</v>
      </c>
      <c r="F13" s="363">
        <f t="shared" si="1"/>
        <v>-927.49265999999989</v>
      </c>
    </row>
    <row r="14" spans="1:6" ht="20.25">
      <c r="A14" s="361">
        <v>1050200000</v>
      </c>
      <c r="B14" s="366" t="s">
        <v>232</v>
      </c>
      <c r="C14" s="367">
        <v>9543</v>
      </c>
      <c r="D14" s="364">
        <v>1292.9669100000001</v>
      </c>
      <c r="E14" s="363">
        <f t="shared" si="0"/>
        <v>13.54885161898774</v>
      </c>
      <c r="F14" s="363">
        <f t="shared" si="1"/>
        <v>-8250.0330900000008</v>
      </c>
    </row>
    <row r="15" spans="1:6" ht="23.25" customHeight="1">
      <c r="A15" s="361">
        <v>1050300000</v>
      </c>
      <c r="B15" s="366" t="s">
        <v>225</v>
      </c>
      <c r="C15" s="367">
        <v>1248.4000000000001</v>
      </c>
      <c r="D15" s="364">
        <v>516.00652000000002</v>
      </c>
      <c r="E15" s="363">
        <f t="shared" si="0"/>
        <v>41.333428388337069</v>
      </c>
      <c r="F15" s="363">
        <f t="shared" si="1"/>
        <v>-732.39348000000007</v>
      </c>
    </row>
    <row r="16" spans="1:6" ht="40.5">
      <c r="A16" s="361">
        <v>1050400002</v>
      </c>
      <c r="B16" s="362" t="s">
        <v>253</v>
      </c>
      <c r="C16" s="367">
        <v>200</v>
      </c>
      <c r="D16" s="364">
        <v>26.268000000000001</v>
      </c>
      <c r="E16" s="363">
        <f t="shared" si="0"/>
        <v>13.134</v>
      </c>
      <c r="F16" s="363">
        <f t="shared" si="1"/>
        <v>-173.732</v>
      </c>
    </row>
    <row r="17" spans="1:6" s="6" customFormat="1" ht="24" customHeight="1">
      <c r="A17" s="358">
        <v>1060000</v>
      </c>
      <c r="B17" s="359" t="s">
        <v>133</v>
      </c>
      <c r="C17" s="360">
        <f>SUM(C18:C21)</f>
        <v>2300</v>
      </c>
      <c r="D17" s="360">
        <f>SUM(D18:D21)</f>
        <v>259.87506000000002</v>
      </c>
      <c r="E17" s="360">
        <f t="shared" si="0"/>
        <v>11.298915652173914</v>
      </c>
      <c r="F17" s="360">
        <f t="shared" si="1"/>
        <v>-2040.1249399999999</v>
      </c>
    </row>
    <row r="18" spans="1:6" s="6" customFormat="1" ht="18" customHeight="1">
      <c r="A18" s="361">
        <v>1060100000</v>
      </c>
      <c r="B18" s="366" t="s">
        <v>8</v>
      </c>
      <c r="C18" s="363">
        <v>0</v>
      </c>
      <c r="D18" s="364">
        <v>0</v>
      </c>
      <c r="E18" s="360" t="e">
        <f t="shared" si="0"/>
        <v>#DIV/0!</v>
      </c>
      <c r="F18" s="360">
        <f t="shared" si="1"/>
        <v>0</v>
      </c>
    </row>
    <row r="19" spans="1:6" s="6" customFormat="1" ht="21" customHeight="1">
      <c r="A19" s="361">
        <v>1060200000</v>
      </c>
      <c r="B19" s="366" t="s">
        <v>120</v>
      </c>
      <c r="C19" s="363">
        <v>0</v>
      </c>
      <c r="D19" s="364">
        <v>0</v>
      </c>
      <c r="E19" s="360" t="e">
        <f t="shared" si="0"/>
        <v>#DIV/0!</v>
      </c>
      <c r="F19" s="360">
        <f t="shared" si="1"/>
        <v>0</v>
      </c>
    </row>
    <row r="20" spans="1:6" s="6" customFormat="1" ht="21.75" customHeight="1">
      <c r="A20" s="361">
        <v>1060400000</v>
      </c>
      <c r="B20" s="366" t="s">
        <v>265</v>
      </c>
      <c r="C20" s="363">
        <v>2300</v>
      </c>
      <c r="D20" s="364">
        <v>259.87506000000002</v>
      </c>
      <c r="E20" s="363">
        <f t="shared" si="0"/>
        <v>11.298915652173914</v>
      </c>
      <c r="F20" s="363">
        <f t="shared" si="1"/>
        <v>-2040.1249399999999</v>
      </c>
    </row>
    <row r="21" spans="1:6" ht="22.5" customHeight="1">
      <c r="A21" s="361">
        <v>1060600000</v>
      </c>
      <c r="B21" s="366" t="s">
        <v>7</v>
      </c>
      <c r="C21" s="363">
        <v>0</v>
      </c>
      <c r="D21" s="364">
        <v>0</v>
      </c>
      <c r="E21" s="363" t="e">
        <f t="shared" si="0"/>
        <v>#DIV/0!</v>
      </c>
      <c r="F21" s="363">
        <f t="shared" si="1"/>
        <v>0</v>
      </c>
    </row>
    <row r="22" spans="1:6" s="6" customFormat="1" ht="42" customHeight="1">
      <c r="A22" s="358">
        <v>1070000</v>
      </c>
      <c r="B22" s="365" t="s">
        <v>9</v>
      </c>
      <c r="C22" s="360">
        <f>SUM(C23)</f>
        <v>1100</v>
      </c>
      <c r="D22" s="360">
        <f>SUM(D23)</f>
        <v>516.72473000000002</v>
      </c>
      <c r="E22" s="360">
        <f t="shared" si="0"/>
        <v>46.974975454545458</v>
      </c>
      <c r="F22" s="360">
        <f t="shared" si="1"/>
        <v>-583.27526999999998</v>
      </c>
    </row>
    <row r="23" spans="1:6" ht="41.25" customHeight="1">
      <c r="A23" s="361">
        <v>1070102001</v>
      </c>
      <c r="B23" s="362" t="s">
        <v>233</v>
      </c>
      <c r="C23" s="363">
        <v>1100</v>
      </c>
      <c r="D23" s="364">
        <v>516.72473000000002</v>
      </c>
      <c r="E23" s="363">
        <f t="shared" si="0"/>
        <v>46.974975454545458</v>
      </c>
      <c r="F23" s="363">
        <f t="shared" si="1"/>
        <v>-583.27526999999998</v>
      </c>
    </row>
    <row r="24" spans="1:6" s="6" customFormat="1" ht="20.25">
      <c r="A24" s="358">
        <v>1080000</v>
      </c>
      <c r="B24" s="359" t="s">
        <v>10</v>
      </c>
      <c r="C24" s="360">
        <f>C25+C26+C27</f>
        <v>2700</v>
      </c>
      <c r="D24" s="360">
        <f>D25+D26+D27</f>
        <v>935.73734000000002</v>
      </c>
      <c r="E24" s="360">
        <f t="shared" si="0"/>
        <v>34.656938518518523</v>
      </c>
      <c r="F24" s="360">
        <f t="shared" si="1"/>
        <v>-1764.2626599999999</v>
      </c>
    </row>
    <row r="25" spans="1:6" ht="30.75" customHeight="1">
      <c r="A25" s="361">
        <v>1080300001</v>
      </c>
      <c r="B25" s="362" t="s">
        <v>234</v>
      </c>
      <c r="C25" s="363">
        <v>1900</v>
      </c>
      <c r="D25" s="433">
        <v>782.17858999999999</v>
      </c>
      <c r="E25" s="363">
        <f t="shared" si="0"/>
        <v>41.167294210526315</v>
      </c>
      <c r="F25" s="363">
        <f t="shared" si="1"/>
        <v>-1117.82141</v>
      </c>
    </row>
    <row r="26" spans="1:6" ht="30.75" customHeight="1">
      <c r="A26" s="361">
        <v>1080600001</v>
      </c>
      <c r="B26" s="362" t="s">
        <v>223</v>
      </c>
      <c r="C26" s="363">
        <v>0</v>
      </c>
      <c r="D26" s="364">
        <v>0.6</v>
      </c>
      <c r="E26" s="363" t="e">
        <f>SUM(D26/C26*100)</f>
        <v>#DIV/0!</v>
      </c>
      <c r="F26" s="363">
        <f t="shared" si="1"/>
        <v>0.6</v>
      </c>
    </row>
    <row r="27" spans="1:6" ht="86.25" customHeight="1">
      <c r="A27" s="361">
        <v>1080700001</v>
      </c>
      <c r="B27" s="362" t="s">
        <v>222</v>
      </c>
      <c r="C27" s="363">
        <v>800</v>
      </c>
      <c r="D27" s="364">
        <v>152.95875000000001</v>
      </c>
      <c r="E27" s="363">
        <f t="shared" si="0"/>
        <v>19.119843750000001</v>
      </c>
      <c r="F27" s="363">
        <f t="shared" si="1"/>
        <v>-647.04124999999999</v>
      </c>
    </row>
    <row r="28" spans="1:6" s="15" customFormat="1" ht="40.5">
      <c r="A28" s="459">
        <v>1090000000</v>
      </c>
      <c r="B28" s="365" t="s">
        <v>226</v>
      </c>
      <c r="C28" s="360">
        <f>C29+C30+C31+C32</f>
        <v>0</v>
      </c>
      <c r="D28" s="360">
        <f>D29+D30+D31+D32</f>
        <v>0</v>
      </c>
      <c r="E28" s="363" t="e">
        <f t="shared" si="0"/>
        <v>#DIV/0!</v>
      </c>
      <c r="F28" s="360">
        <f t="shared" si="1"/>
        <v>0</v>
      </c>
    </row>
    <row r="29" spans="1:6" s="15" customFormat="1" ht="17.25" customHeight="1">
      <c r="A29" s="361">
        <v>1090100000</v>
      </c>
      <c r="B29" s="362" t="s">
        <v>122</v>
      </c>
      <c r="C29" s="363">
        <v>0</v>
      </c>
      <c r="D29" s="364">
        <v>0</v>
      </c>
      <c r="E29" s="363" t="e">
        <f t="shared" si="0"/>
        <v>#DIV/0!</v>
      </c>
      <c r="F29" s="363">
        <f t="shared" si="1"/>
        <v>0</v>
      </c>
    </row>
    <row r="30" spans="1:6" s="15" customFormat="1" ht="17.25" customHeight="1">
      <c r="A30" s="361">
        <v>1090400000</v>
      </c>
      <c r="B30" s="362" t="s">
        <v>123</v>
      </c>
      <c r="C30" s="363">
        <v>0</v>
      </c>
      <c r="D30" s="364">
        <v>0</v>
      </c>
      <c r="E30" s="363" t="e">
        <f t="shared" si="0"/>
        <v>#DIV/0!</v>
      </c>
      <c r="F30" s="363">
        <f t="shared" si="1"/>
        <v>0</v>
      </c>
    </row>
    <row r="31" spans="1:6" s="15" customFormat="1" ht="30" customHeight="1">
      <c r="A31" s="361">
        <v>1090600000</v>
      </c>
      <c r="B31" s="362" t="s">
        <v>124</v>
      </c>
      <c r="C31" s="363">
        <v>0</v>
      </c>
      <c r="D31" s="364">
        <v>0</v>
      </c>
      <c r="E31" s="363" t="e">
        <f t="shared" si="0"/>
        <v>#DIV/0!</v>
      </c>
      <c r="F31" s="363">
        <f t="shared" si="1"/>
        <v>0</v>
      </c>
    </row>
    <row r="32" spans="1:6" s="15" customFormat="1" ht="1.5" customHeight="1">
      <c r="A32" s="361">
        <v>1090700000</v>
      </c>
      <c r="B32" s="362" t="s">
        <v>125</v>
      </c>
      <c r="C32" s="363">
        <v>0</v>
      </c>
      <c r="D32" s="364">
        <v>0</v>
      </c>
      <c r="E32" s="363" t="e">
        <f t="shared" si="0"/>
        <v>#DIV/0!</v>
      </c>
      <c r="F32" s="363">
        <f t="shared" si="1"/>
        <v>0</v>
      </c>
    </row>
    <row r="33" spans="1:6" s="6" customFormat="1" ht="33.75" customHeight="1">
      <c r="A33" s="358"/>
      <c r="B33" s="359" t="s">
        <v>12</v>
      </c>
      <c r="C33" s="360">
        <f>C34+C43+C45+C48+C51+C53+C57</f>
        <v>20634</v>
      </c>
      <c r="D33" s="360">
        <f>D34+D43+D45+D48+D51+D53+D57</f>
        <v>3258.0235100000004</v>
      </c>
      <c r="E33" s="360">
        <f t="shared" si="0"/>
        <v>15.789587622370846</v>
      </c>
      <c r="F33" s="360">
        <f t="shared" si="1"/>
        <v>-17375.976490000001</v>
      </c>
    </row>
    <row r="34" spans="1:6" s="6" customFormat="1" ht="60.75" customHeight="1">
      <c r="A34" s="358">
        <v>1110000</v>
      </c>
      <c r="B34" s="365" t="s">
        <v>126</v>
      </c>
      <c r="C34" s="360">
        <f>SUM(C35:C42)</f>
        <v>9900</v>
      </c>
      <c r="D34" s="360">
        <f>SUM(D35+D37+D38+D40+D41+D42)</f>
        <v>2299.4169900000002</v>
      </c>
      <c r="E34" s="360">
        <f t="shared" si="0"/>
        <v>23.226434242424244</v>
      </c>
      <c r="F34" s="360">
        <f t="shared" si="1"/>
        <v>-7600.5830100000003</v>
      </c>
    </row>
    <row r="35" spans="1:6" s="6" customFormat="1" ht="34.5" customHeight="1">
      <c r="A35" s="361">
        <v>1110105005</v>
      </c>
      <c r="B35" s="362" t="s">
        <v>305</v>
      </c>
      <c r="C35" s="363">
        <v>30</v>
      </c>
      <c r="D35" s="363">
        <v>17.61</v>
      </c>
      <c r="E35" s="363">
        <f t="shared" si="0"/>
        <v>58.699999999999996</v>
      </c>
      <c r="F35" s="363">
        <f t="shared" si="1"/>
        <v>-12.39</v>
      </c>
    </row>
    <row r="36" spans="1:6" ht="27.75" customHeight="1">
      <c r="A36" s="361">
        <v>1110305005</v>
      </c>
      <c r="B36" s="366" t="s">
        <v>235</v>
      </c>
      <c r="C36" s="363">
        <v>0</v>
      </c>
      <c r="D36" s="364">
        <v>0</v>
      </c>
      <c r="E36" s="363" t="e">
        <f t="shared" si="0"/>
        <v>#DIV/0!</v>
      </c>
      <c r="F36" s="363">
        <f t="shared" si="1"/>
        <v>0</v>
      </c>
    </row>
    <row r="37" spans="1:6" ht="20.25">
      <c r="A37" s="368">
        <v>1110501101</v>
      </c>
      <c r="B37" s="369" t="s">
        <v>221</v>
      </c>
      <c r="C37" s="367">
        <v>9000</v>
      </c>
      <c r="D37" s="364">
        <v>2069.8519900000001</v>
      </c>
      <c r="E37" s="363">
        <f t="shared" si="0"/>
        <v>22.998355444444446</v>
      </c>
      <c r="F37" s="363">
        <f t="shared" si="1"/>
        <v>-6930.1480099999999</v>
      </c>
    </row>
    <row r="38" spans="1:6" ht="20.25" customHeight="1">
      <c r="A38" s="361">
        <v>1110503505</v>
      </c>
      <c r="B38" s="366" t="s">
        <v>220</v>
      </c>
      <c r="C38" s="367">
        <v>300</v>
      </c>
      <c r="D38" s="364">
        <v>50.951700000000002</v>
      </c>
      <c r="E38" s="363">
        <f t="shared" si="0"/>
        <v>16.983900000000002</v>
      </c>
      <c r="F38" s="363">
        <f t="shared" si="1"/>
        <v>-249.04829999999998</v>
      </c>
    </row>
    <row r="39" spans="1:6" ht="131.25" customHeight="1">
      <c r="A39" s="361">
        <v>1110502000</v>
      </c>
      <c r="B39" s="362" t="s">
        <v>262</v>
      </c>
      <c r="C39" s="370">
        <v>0</v>
      </c>
      <c r="D39" s="364">
        <v>0</v>
      </c>
      <c r="E39" s="363" t="e">
        <f t="shared" si="0"/>
        <v>#DIV/0!</v>
      </c>
      <c r="F39" s="363">
        <f t="shared" si="1"/>
        <v>0</v>
      </c>
    </row>
    <row r="40" spans="1:6" s="15" customFormat="1" ht="20.25">
      <c r="A40" s="361">
        <v>1110701505</v>
      </c>
      <c r="B40" s="366" t="s">
        <v>236</v>
      </c>
      <c r="C40" s="367">
        <v>70</v>
      </c>
      <c r="D40" s="364">
        <v>31.940999999999999</v>
      </c>
      <c r="E40" s="363">
        <f t="shared" si="0"/>
        <v>45.629999999999995</v>
      </c>
      <c r="F40" s="363">
        <f t="shared" si="1"/>
        <v>-38.058999999999997</v>
      </c>
    </row>
    <row r="41" spans="1:6" s="15" customFormat="1" ht="20.25">
      <c r="A41" s="361">
        <v>1110903000</v>
      </c>
      <c r="B41" s="366" t="s">
        <v>391</v>
      </c>
      <c r="C41" s="367">
        <v>0</v>
      </c>
      <c r="D41" s="364">
        <v>0</v>
      </c>
      <c r="E41" s="363" t="e">
        <f>SUM(D41/C41*100)</f>
        <v>#DIV/0!</v>
      </c>
      <c r="F41" s="363">
        <f>SUM(D41-C41)</f>
        <v>0</v>
      </c>
    </row>
    <row r="42" spans="1:6" s="15" customFormat="1" ht="20.25">
      <c r="A42" s="361">
        <v>1110904505</v>
      </c>
      <c r="B42" s="366" t="s">
        <v>317</v>
      </c>
      <c r="C42" s="367">
        <v>500</v>
      </c>
      <c r="D42" s="364">
        <v>129.06229999999999</v>
      </c>
      <c r="E42" s="363">
        <f t="shared" si="0"/>
        <v>25.812459999999998</v>
      </c>
      <c r="F42" s="363">
        <f t="shared" si="1"/>
        <v>-370.93770000000001</v>
      </c>
    </row>
    <row r="43" spans="1:6" s="15" customFormat="1" ht="40.5">
      <c r="A43" s="358">
        <v>1120000</v>
      </c>
      <c r="B43" s="365" t="s">
        <v>127</v>
      </c>
      <c r="C43" s="371">
        <f>C44</f>
        <v>550</v>
      </c>
      <c r="D43" s="371">
        <f>D44</f>
        <v>204.95993000000001</v>
      </c>
      <c r="E43" s="360">
        <f t="shared" si="0"/>
        <v>37.26544181818182</v>
      </c>
      <c r="F43" s="360">
        <f t="shared" si="1"/>
        <v>-345.04007000000001</v>
      </c>
    </row>
    <row r="44" spans="1:6" s="15" customFormat="1" ht="40.5">
      <c r="A44" s="361">
        <v>1120100001</v>
      </c>
      <c r="B44" s="362" t="s">
        <v>237</v>
      </c>
      <c r="C44" s="363">
        <v>550</v>
      </c>
      <c r="D44" s="364">
        <v>204.95993000000001</v>
      </c>
      <c r="E44" s="363">
        <f t="shared" si="0"/>
        <v>37.26544181818182</v>
      </c>
      <c r="F44" s="363">
        <f t="shared" si="1"/>
        <v>-345.04007000000001</v>
      </c>
    </row>
    <row r="45" spans="1:6" s="189" customFormat="1" ht="21.75" customHeight="1">
      <c r="A45" s="372">
        <v>1130000</v>
      </c>
      <c r="B45" s="373" t="s">
        <v>128</v>
      </c>
      <c r="C45" s="360">
        <f>C46+C47</f>
        <v>84</v>
      </c>
      <c r="D45" s="360">
        <f>D46+D47</f>
        <v>0</v>
      </c>
      <c r="E45" s="360">
        <f t="shared" si="0"/>
        <v>0</v>
      </c>
      <c r="F45" s="360">
        <f t="shared" si="1"/>
        <v>-84</v>
      </c>
    </row>
    <row r="46" spans="1:6" s="15" customFormat="1" ht="36" customHeight="1">
      <c r="A46" s="361">
        <v>1130200000</v>
      </c>
      <c r="B46" s="362" t="s">
        <v>315</v>
      </c>
      <c r="C46" s="363">
        <v>84</v>
      </c>
      <c r="D46" s="363">
        <v>0</v>
      </c>
      <c r="E46" s="363">
        <f>SUM(D46/C46*100)</f>
        <v>0</v>
      </c>
      <c r="F46" s="363">
        <f>SUM(D46-C46)</f>
        <v>-84</v>
      </c>
    </row>
    <row r="47" spans="1:6" ht="25.5" customHeight="1">
      <c r="A47" s="361">
        <v>1130305005</v>
      </c>
      <c r="B47" s="362" t="s">
        <v>219</v>
      </c>
      <c r="C47" s="363">
        <v>0</v>
      </c>
      <c r="D47" s="364">
        <v>0</v>
      </c>
      <c r="E47" s="363"/>
      <c r="F47" s="363">
        <f t="shared" si="1"/>
        <v>0</v>
      </c>
    </row>
    <row r="48" spans="1:6" ht="20.25" customHeight="1">
      <c r="A48" s="374">
        <v>1140000</v>
      </c>
      <c r="B48" s="375" t="s">
        <v>129</v>
      </c>
      <c r="C48" s="360">
        <f>C49+C50</f>
        <v>4500</v>
      </c>
      <c r="D48" s="360">
        <f>D49+D50</f>
        <v>72.722740000000002</v>
      </c>
      <c r="E48" s="360">
        <f t="shared" si="0"/>
        <v>1.616060888888889</v>
      </c>
      <c r="F48" s="360">
        <f t="shared" si="1"/>
        <v>-4427.2772599999998</v>
      </c>
    </row>
    <row r="49" spans="1:8" ht="20.25">
      <c r="A49" s="368">
        <v>1140200000</v>
      </c>
      <c r="B49" s="376" t="s">
        <v>217</v>
      </c>
      <c r="C49" s="363">
        <v>500</v>
      </c>
      <c r="D49" s="364">
        <v>0</v>
      </c>
      <c r="E49" s="363">
        <f t="shared" si="0"/>
        <v>0</v>
      </c>
      <c r="F49" s="363">
        <f t="shared" si="1"/>
        <v>-500</v>
      </c>
    </row>
    <row r="50" spans="1:8" ht="19.5" customHeight="1">
      <c r="A50" s="361">
        <v>1140600000</v>
      </c>
      <c r="B50" s="362" t="s">
        <v>218</v>
      </c>
      <c r="C50" s="363">
        <v>4000</v>
      </c>
      <c r="D50" s="364">
        <v>72.722740000000002</v>
      </c>
      <c r="E50" s="363">
        <f t="shared" si="0"/>
        <v>1.8180685000000003</v>
      </c>
      <c r="F50" s="363">
        <f t="shared" si="1"/>
        <v>-3927.2772599999998</v>
      </c>
    </row>
    <row r="51" spans="1:8" ht="25.5" customHeight="1">
      <c r="A51" s="358">
        <v>1150000000</v>
      </c>
      <c r="B51" s="365" t="s">
        <v>230</v>
      </c>
      <c r="C51" s="360">
        <f>C52</f>
        <v>0</v>
      </c>
      <c r="D51" s="360">
        <f>D52</f>
        <v>0</v>
      </c>
      <c r="E51" s="360" t="e">
        <f t="shared" si="0"/>
        <v>#DIV/0!</v>
      </c>
      <c r="F51" s="360">
        <f t="shared" si="1"/>
        <v>0</v>
      </c>
    </row>
    <row r="52" spans="1:8" ht="61.5" customHeight="1">
      <c r="A52" s="361">
        <v>1150205005</v>
      </c>
      <c r="B52" s="362" t="s">
        <v>231</v>
      </c>
      <c r="C52" s="363">
        <v>0</v>
      </c>
      <c r="D52" s="364">
        <v>0</v>
      </c>
      <c r="E52" s="363" t="e">
        <f t="shared" si="0"/>
        <v>#DIV/0!</v>
      </c>
      <c r="F52" s="363">
        <f t="shared" si="1"/>
        <v>0</v>
      </c>
    </row>
    <row r="53" spans="1:8" ht="50.25" customHeight="1">
      <c r="A53" s="358">
        <v>1160000</v>
      </c>
      <c r="B53" s="365" t="s">
        <v>131</v>
      </c>
      <c r="C53" s="360">
        <f>SUM(C54:C56)</f>
        <v>5600</v>
      </c>
      <c r="D53" s="360">
        <f>SUM(D54:D56)</f>
        <v>680.92385000000002</v>
      </c>
      <c r="E53" s="360">
        <f>SUM(D53/C53*100)</f>
        <v>12.159354464285714</v>
      </c>
      <c r="F53" s="360">
        <f t="shared" si="1"/>
        <v>-4919.0761499999999</v>
      </c>
      <c r="H53" s="152"/>
    </row>
    <row r="54" spans="1:8" ht="36.75" customHeight="1">
      <c r="A54" s="361">
        <v>1160701000</v>
      </c>
      <c r="B54" s="362" t="s">
        <v>407</v>
      </c>
      <c r="C54" s="363">
        <v>0</v>
      </c>
      <c r="D54" s="377">
        <v>0</v>
      </c>
      <c r="E54" s="363" t="e">
        <f>SUM(D54/C54*100)</f>
        <v>#DIV/0!</v>
      </c>
      <c r="F54" s="363">
        <f t="shared" si="1"/>
        <v>0</v>
      </c>
    </row>
    <row r="55" spans="1:8" ht="39.75" customHeight="1">
      <c r="A55" s="361">
        <v>1160709000</v>
      </c>
      <c r="B55" s="362" t="s">
        <v>406</v>
      </c>
      <c r="C55" s="363">
        <v>5600</v>
      </c>
      <c r="D55" s="378">
        <v>680.92385000000002</v>
      </c>
      <c r="E55" s="363">
        <f t="shared" si="0"/>
        <v>12.159354464285714</v>
      </c>
      <c r="F55" s="363">
        <f t="shared" si="1"/>
        <v>-4919.0761499999999</v>
      </c>
    </row>
    <row r="56" spans="1:8" ht="41.25" customHeight="1">
      <c r="A56" s="361">
        <v>1161012000</v>
      </c>
      <c r="B56" s="362" t="s">
        <v>408</v>
      </c>
      <c r="C56" s="379">
        <v>0</v>
      </c>
      <c r="D56" s="378">
        <v>0</v>
      </c>
      <c r="E56" s="363" t="e">
        <f t="shared" si="0"/>
        <v>#DIV/0!</v>
      </c>
      <c r="F56" s="363">
        <f t="shared" si="1"/>
        <v>0</v>
      </c>
    </row>
    <row r="57" spans="1:8" ht="25.5" customHeight="1">
      <c r="A57" s="358">
        <v>1170000</v>
      </c>
      <c r="B57" s="365" t="s">
        <v>132</v>
      </c>
      <c r="C57" s="360">
        <f>C58+C59</f>
        <v>0</v>
      </c>
      <c r="D57" s="360">
        <f>D58+D59</f>
        <v>0</v>
      </c>
      <c r="E57" s="363" t="e">
        <f t="shared" si="0"/>
        <v>#DIV/0!</v>
      </c>
      <c r="F57" s="360">
        <f t="shared" si="1"/>
        <v>0</v>
      </c>
    </row>
    <row r="58" spans="1:8" ht="20.25">
      <c r="A58" s="361">
        <v>1170105005</v>
      </c>
      <c r="B58" s="362" t="s">
        <v>15</v>
      </c>
      <c r="C58" s="363">
        <v>0</v>
      </c>
      <c r="D58" s="363">
        <v>0</v>
      </c>
      <c r="E58" s="363" t="e">
        <f t="shared" si="0"/>
        <v>#DIV/0!</v>
      </c>
      <c r="F58" s="363">
        <f t="shared" si="1"/>
        <v>0</v>
      </c>
    </row>
    <row r="59" spans="1:8" ht="20.25">
      <c r="A59" s="361">
        <v>1170505005</v>
      </c>
      <c r="B59" s="366" t="s">
        <v>216</v>
      </c>
      <c r="C59" s="363">
        <v>0</v>
      </c>
      <c r="D59" s="364">
        <v>0</v>
      </c>
      <c r="E59" s="363" t="e">
        <f t="shared" si="0"/>
        <v>#DIV/0!</v>
      </c>
      <c r="F59" s="363">
        <f t="shared" si="1"/>
        <v>0</v>
      </c>
    </row>
    <row r="60" spans="1:8" s="6" customFormat="1" ht="20.25">
      <c r="A60" s="358">
        <v>100000</v>
      </c>
      <c r="B60" s="359" t="s">
        <v>16</v>
      </c>
      <c r="C60" s="454">
        <f>SUM(C4,C33)</f>
        <v>168134</v>
      </c>
      <c r="D60" s="454">
        <f>SUM(D4,D33)</f>
        <v>34644.542260000002</v>
      </c>
      <c r="E60" s="360">
        <f>SUM(D60/C60*100)</f>
        <v>20.605316152592575</v>
      </c>
      <c r="F60" s="360">
        <f>SUM(D60-C60)</f>
        <v>-133489.45773999998</v>
      </c>
      <c r="G60" s="94"/>
      <c r="H60" s="94"/>
    </row>
    <row r="61" spans="1:8" s="6" customFormat="1" ht="30" customHeight="1">
      <c r="A61" s="358">
        <v>200000</v>
      </c>
      <c r="B61" s="359" t="s">
        <v>17</v>
      </c>
      <c r="C61" s="360">
        <f>C62+C65+C66+C67+C69+C64+C68</f>
        <v>713558.09183000016</v>
      </c>
      <c r="D61" s="360">
        <f>D62+D65+D66+D67+D69+D64+D68</f>
        <v>55560.563669999996</v>
      </c>
      <c r="E61" s="360">
        <f t="shared" si="0"/>
        <v>7.7864107079927676</v>
      </c>
      <c r="F61" s="360">
        <f t="shared" si="1"/>
        <v>-657997.52816000022</v>
      </c>
      <c r="G61" s="94"/>
      <c r="H61" s="94"/>
    </row>
    <row r="62" spans="1:8" ht="21.75" customHeight="1">
      <c r="A62" s="368">
        <v>2021000000</v>
      </c>
      <c r="B62" s="369" t="s">
        <v>18</v>
      </c>
      <c r="C62" s="367">
        <v>0</v>
      </c>
      <c r="D62" s="380">
        <v>0</v>
      </c>
      <c r="E62" s="363" t="e">
        <f t="shared" si="0"/>
        <v>#DIV/0!</v>
      </c>
      <c r="F62" s="363">
        <f t="shared" si="1"/>
        <v>0</v>
      </c>
    </row>
    <row r="63" spans="1:8" ht="21" customHeight="1">
      <c r="A63" s="368">
        <v>2020100905</v>
      </c>
      <c r="B63" s="376" t="s">
        <v>261</v>
      </c>
      <c r="C63" s="367">
        <v>0</v>
      </c>
      <c r="D63" s="380">
        <v>0</v>
      </c>
      <c r="E63" s="363" t="e">
        <f t="shared" si="0"/>
        <v>#DIV/0!</v>
      </c>
      <c r="F63" s="363">
        <f t="shared" si="1"/>
        <v>0</v>
      </c>
    </row>
    <row r="64" spans="1:8" ht="21.75" customHeight="1">
      <c r="A64" s="368">
        <v>2021500200</v>
      </c>
      <c r="B64" s="369" t="s">
        <v>227</v>
      </c>
      <c r="C64" s="367">
        <v>10026.9</v>
      </c>
      <c r="D64" s="380">
        <v>2506.8000000000002</v>
      </c>
      <c r="E64" s="363">
        <f t="shared" si="0"/>
        <v>25.000747987912519</v>
      </c>
      <c r="F64" s="363">
        <f t="shared" si="1"/>
        <v>-7520.0999999999995</v>
      </c>
    </row>
    <row r="65" spans="1:8" ht="20.25">
      <c r="A65" s="368">
        <v>2022000000</v>
      </c>
      <c r="B65" s="369" t="s">
        <v>19</v>
      </c>
      <c r="C65" s="367">
        <v>351340.49612999998</v>
      </c>
      <c r="D65" s="364">
        <v>7291.9449999999997</v>
      </c>
      <c r="E65" s="363">
        <f t="shared" si="0"/>
        <v>2.0754638535325278</v>
      </c>
      <c r="F65" s="363">
        <f t="shared" si="1"/>
        <v>-344048.55112999998</v>
      </c>
    </row>
    <row r="66" spans="1:8" ht="20.25">
      <c r="A66" s="368">
        <v>2023000000</v>
      </c>
      <c r="B66" s="369" t="s">
        <v>20</v>
      </c>
      <c r="C66" s="367">
        <v>368859.69</v>
      </c>
      <c r="D66" s="381">
        <v>92202.361560000005</v>
      </c>
      <c r="E66" s="363">
        <f t="shared" si="0"/>
        <v>24.996594656358358</v>
      </c>
      <c r="F66" s="363">
        <f t="shared" si="1"/>
        <v>-276657.32844000001</v>
      </c>
    </row>
    <row r="67" spans="1:8" ht="19.5" customHeight="1">
      <c r="A67" s="368">
        <v>2024000000</v>
      </c>
      <c r="B67" s="376" t="s">
        <v>21</v>
      </c>
      <c r="C67" s="367">
        <v>35948.300000000003</v>
      </c>
      <c r="D67" s="382">
        <v>6176.7514099999999</v>
      </c>
      <c r="E67" s="363">
        <f t="shared" si="0"/>
        <v>17.182318524102669</v>
      </c>
      <c r="F67" s="363">
        <f t="shared" si="1"/>
        <v>-29771.548590000002</v>
      </c>
    </row>
    <row r="68" spans="1:8" ht="20.25">
      <c r="A68" s="368">
        <v>2180500005</v>
      </c>
      <c r="B68" s="376" t="s">
        <v>310</v>
      </c>
      <c r="C68" s="367">
        <v>0</v>
      </c>
      <c r="D68" s="382">
        <v>0</v>
      </c>
      <c r="E68" s="363" t="e">
        <f t="shared" si="0"/>
        <v>#DIV/0!</v>
      </c>
      <c r="F68" s="363">
        <f t="shared" si="1"/>
        <v>0</v>
      </c>
    </row>
    <row r="69" spans="1:8" ht="18" customHeight="1">
      <c r="A69" s="361">
        <v>2196001005</v>
      </c>
      <c r="B69" s="366" t="s">
        <v>23</v>
      </c>
      <c r="C69" s="364">
        <v>-52617.294300000001</v>
      </c>
      <c r="D69" s="364">
        <v>-52617.294300000001</v>
      </c>
      <c r="E69" s="363">
        <f t="shared" si="0"/>
        <v>100</v>
      </c>
      <c r="F69" s="363">
        <f>SUM(D69-C69)</f>
        <v>0</v>
      </c>
    </row>
    <row r="70" spans="1:8" s="6" customFormat="1" ht="54" customHeight="1">
      <c r="A70" s="358">
        <v>3000000000</v>
      </c>
      <c r="B70" s="365" t="s">
        <v>24</v>
      </c>
      <c r="C70" s="371">
        <v>0</v>
      </c>
      <c r="D70" s="383">
        <v>0</v>
      </c>
      <c r="E70" s="363" t="e">
        <f>SUM(D70/C70*100)</f>
        <v>#DIV/0!</v>
      </c>
      <c r="F70" s="360">
        <f t="shared" si="1"/>
        <v>0</v>
      </c>
    </row>
    <row r="71" spans="1:8" s="6" customFormat="1" ht="22.5" customHeight="1">
      <c r="A71" s="358"/>
      <c r="B71" s="359" t="s">
        <v>25</v>
      </c>
      <c r="C71" s="458">
        <f>C60+C61</f>
        <v>881692.09183000016</v>
      </c>
      <c r="D71" s="458">
        <f>D60+D61</f>
        <v>90205.105929999991</v>
      </c>
      <c r="E71" s="363">
        <f>SUM(D71/C71*100)</f>
        <v>10.230907906043974</v>
      </c>
      <c r="F71" s="360">
        <f>SUM(D72-C71)</f>
        <v>-937328.55681000021</v>
      </c>
      <c r="G71" s="215"/>
      <c r="H71" s="94">
        <f>D71-24575.623</f>
        <v>65629.482929999998</v>
      </c>
    </row>
    <row r="72" spans="1:8" s="6" customFormat="1" ht="20.25">
      <c r="A72" s="358"/>
      <c r="B72" s="384" t="s">
        <v>306</v>
      </c>
      <c r="C72" s="385">
        <f>C71-C133</f>
        <v>-63146.644919999759</v>
      </c>
      <c r="D72" s="360">
        <f>D71-D133</f>
        <v>-55636.46497999999</v>
      </c>
      <c r="E72" s="386"/>
      <c r="F72" s="386"/>
      <c r="G72" s="94"/>
      <c r="H72" s="94"/>
    </row>
    <row r="73" spans="1:8" ht="20.25">
      <c r="A73" s="387"/>
      <c r="B73" s="388"/>
      <c r="C73" s="389"/>
      <c r="D73" s="389"/>
      <c r="E73" s="390"/>
      <c r="F73" s="390"/>
    </row>
    <row r="74" spans="1:8" ht="101.25">
      <c r="A74" s="391" t="s">
        <v>0</v>
      </c>
      <c r="B74" s="391" t="s">
        <v>26</v>
      </c>
      <c r="C74" s="355" t="s">
        <v>402</v>
      </c>
      <c r="D74" s="356" t="s">
        <v>434</v>
      </c>
      <c r="E74" s="355" t="s">
        <v>2</v>
      </c>
      <c r="F74" s="357" t="s">
        <v>3</v>
      </c>
    </row>
    <row r="75" spans="1:8" ht="20.25">
      <c r="A75" s="392">
        <v>1</v>
      </c>
      <c r="B75" s="391">
        <v>2</v>
      </c>
      <c r="C75" s="393">
        <v>3</v>
      </c>
      <c r="D75" s="394">
        <v>4</v>
      </c>
      <c r="E75" s="393">
        <v>5</v>
      </c>
      <c r="F75" s="393">
        <v>6</v>
      </c>
    </row>
    <row r="76" spans="1:8" s="6" customFormat="1" ht="22.5" customHeight="1">
      <c r="A76" s="395" t="s">
        <v>27</v>
      </c>
      <c r="B76" s="396" t="s">
        <v>28</v>
      </c>
      <c r="C76" s="386">
        <f>SUM(C77+C78+C79+C80+C81+C82+C83)</f>
        <v>50037.126120000001</v>
      </c>
      <c r="D76" s="386">
        <f>SUM(D77:D83)</f>
        <v>9948.4592400000001</v>
      </c>
      <c r="E76" s="397">
        <f>SUM(D76/C76*100)</f>
        <v>19.882155534155604</v>
      </c>
      <c r="F76" s="397">
        <f>SUM(D76-C76)</f>
        <v>-40088.666880000004</v>
      </c>
    </row>
    <row r="77" spans="1:8" s="6" customFormat="1" ht="40.5">
      <c r="A77" s="398" t="s">
        <v>29</v>
      </c>
      <c r="B77" s="399" t="s">
        <v>30</v>
      </c>
      <c r="C77" s="400">
        <v>50</v>
      </c>
      <c r="D77" s="400">
        <v>0</v>
      </c>
      <c r="E77" s="397">
        <f>SUM(D77/C77*100)</f>
        <v>0</v>
      </c>
      <c r="F77" s="397">
        <f>SUM(D77-C77)</f>
        <v>-50</v>
      </c>
    </row>
    <row r="78" spans="1:8" ht="21.75" customHeight="1">
      <c r="A78" s="398" t="s">
        <v>31</v>
      </c>
      <c r="B78" s="401" t="s">
        <v>32</v>
      </c>
      <c r="C78" s="400">
        <v>24362.708999999999</v>
      </c>
      <c r="D78" s="400">
        <v>4262.7986700000001</v>
      </c>
      <c r="E78" s="402">
        <f t="shared" ref="E78:E133" si="2">SUM(D78/C78*100)</f>
        <v>17.497227709775625</v>
      </c>
      <c r="F78" s="402">
        <f t="shared" ref="F78:F133" si="3">SUM(D78-C78)</f>
        <v>-20099.910329999999</v>
      </c>
    </row>
    <row r="79" spans="1:8" ht="19.5" customHeight="1">
      <c r="A79" s="398" t="s">
        <v>33</v>
      </c>
      <c r="B79" s="401" t="s">
        <v>34</v>
      </c>
      <c r="C79" s="400">
        <v>15.9</v>
      </c>
      <c r="D79" s="400">
        <v>0</v>
      </c>
      <c r="E79" s="402">
        <f t="shared" si="2"/>
        <v>0</v>
      </c>
      <c r="F79" s="402">
        <f t="shared" si="3"/>
        <v>-15.9</v>
      </c>
    </row>
    <row r="80" spans="1:8" ht="38.25" customHeight="1">
      <c r="A80" s="398" t="s">
        <v>35</v>
      </c>
      <c r="B80" s="401" t="s">
        <v>36</v>
      </c>
      <c r="C80" s="403">
        <v>5666.2809999999999</v>
      </c>
      <c r="D80" s="403">
        <v>1448.1275700000001</v>
      </c>
      <c r="E80" s="402">
        <f t="shared" si="2"/>
        <v>25.556931786475118</v>
      </c>
      <c r="F80" s="402">
        <f t="shared" si="3"/>
        <v>-4218.1534300000003</v>
      </c>
    </row>
    <row r="81" spans="1:7" ht="18.75" customHeight="1">
      <c r="A81" s="398" t="s">
        <v>37</v>
      </c>
      <c r="B81" s="401" t="s">
        <v>38</v>
      </c>
      <c r="C81" s="400">
        <v>1200</v>
      </c>
      <c r="D81" s="400">
        <v>0</v>
      </c>
      <c r="E81" s="402">
        <f t="shared" si="2"/>
        <v>0</v>
      </c>
      <c r="F81" s="402">
        <f t="shared" si="3"/>
        <v>-1200</v>
      </c>
    </row>
    <row r="82" spans="1:7" ht="24.75" customHeight="1">
      <c r="A82" s="398" t="s">
        <v>39</v>
      </c>
      <c r="B82" s="401" t="s">
        <v>40</v>
      </c>
      <c r="C82" s="403">
        <v>469.01211999999998</v>
      </c>
      <c r="D82" s="403">
        <v>0</v>
      </c>
      <c r="E82" s="402">
        <f t="shared" si="2"/>
        <v>0</v>
      </c>
      <c r="F82" s="402">
        <f t="shared" si="3"/>
        <v>-469.01211999999998</v>
      </c>
    </row>
    <row r="83" spans="1:7" ht="24" customHeight="1">
      <c r="A83" s="398" t="s">
        <v>41</v>
      </c>
      <c r="B83" s="401" t="s">
        <v>42</v>
      </c>
      <c r="C83" s="400">
        <v>18273.223999999998</v>
      </c>
      <c r="D83" s="400">
        <v>4237.5330000000004</v>
      </c>
      <c r="E83" s="402">
        <f t="shared" si="2"/>
        <v>23.189848709784329</v>
      </c>
      <c r="F83" s="402">
        <f t="shared" si="3"/>
        <v>-14035.690999999999</v>
      </c>
    </row>
    <row r="84" spans="1:7" s="6" customFormat="1" ht="20.25">
      <c r="A84" s="404" t="s">
        <v>43</v>
      </c>
      <c r="B84" s="405" t="s">
        <v>44</v>
      </c>
      <c r="C84" s="386">
        <f>C85</f>
        <v>2168.1999999999998</v>
      </c>
      <c r="D84" s="386">
        <f>D85</f>
        <v>537.6</v>
      </c>
      <c r="E84" s="397">
        <f t="shared" si="2"/>
        <v>24.794760630938111</v>
      </c>
      <c r="F84" s="397">
        <f t="shared" si="3"/>
        <v>-1630.6</v>
      </c>
    </row>
    <row r="85" spans="1:7" ht="20.25">
      <c r="A85" s="406" t="s">
        <v>45</v>
      </c>
      <c r="B85" s="407" t="s">
        <v>46</v>
      </c>
      <c r="C85" s="400">
        <v>2168.1999999999998</v>
      </c>
      <c r="D85" s="400">
        <v>537.6</v>
      </c>
      <c r="E85" s="402">
        <f t="shared" si="2"/>
        <v>24.794760630938111</v>
      </c>
      <c r="F85" s="402">
        <f t="shared" si="3"/>
        <v>-1630.6</v>
      </c>
    </row>
    <row r="86" spans="1:7" s="6" customFormat="1" ht="21" customHeight="1">
      <c r="A86" s="395" t="s">
        <v>47</v>
      </c>
      <c r="B86" s="396" t="s">
        <v>48</v>
      </c>
      <c r="C86" s="386">
        <f>SUM(C88:C91)</f>
        <v>4301.6000000000004</v>
      </c>
      <c r="D86" s="386">
        <f>SUM(D88:D91)</f>
        <v>890.99810000000002</v>
      </c>
      <c r="E86" s="397">
        <f t="shared" si="2"/>
        <v>20.713178817184303</v>
      </c>
      <c r="F86" s="397">
        <f t="shared" si="3"/>
        <v>-3410.6019000000006</v>
      </c>
    </row>
    <row r="87" spans="1:7" ht="23.25" customHeight="1">
      <c r="A87" s="398" t="s">
        <v>49</v>
      </c>
      <c r="B87" s="401" t="s">
        <v>50</v>
      </c>
      <c r="C87" s="400">
        <v>0</v>
      </c>
      <c r="D87" s="400">
        <v>0</v>
      </c>
      <c r="E87" s="402" t="e">
        <f t="shared" si="2"/>
        <v>#DIV/0!</v>
      </c>
      <c r="F87" s="402">
        <f t="shared" si="3"/>
        <v>0</v>
      </c>
    </row>
    <row r="88" spans="1:7" ht="20.25">
      <c r="A88" s="408" t="s">
        <v>51</v>
      </c>
      <c r="B88" s="401" t="s">
        <v>312</v>
      </c>
      <c r="C88" s="400">
        <v>1597.7</v>
      </c>
      <c r="D88" s="400">
        <v>400</v>
      </c>
      <c r="E88" s="402">
        <f t="shared" si="2"/>
        <v>25.035989234524632</v>
      </c>
      <c r="F88" s="402">
        <f t="shared" si="3"/>
        <v>-1197.7</v>
      </c>
    </row>
    <row r="89" spans="1:7" ht="24" customHeight="1">
      <c r="A89" s="409" t="s">
        <v>53</v>
      </c>
      <c r="B89" s="410" t="s">
        <v>54</v>
      </c>
      <c r="C89" s="400">
        <v>2368.9</v>
      </c>
      <c r="D89" s="400">
        <v>476.4581</v>
      </c>
      <c r="E89" s="402">
        <f t="shared" si="2"/>
        <v>20.113052471611294</v>
      </c>
      <c r="F89" s="402">
        <f t="shared" si="3"/>
        <v>-1892.4419</v>
      </c>
    </row>
    <row r="90" spans="1:7" ht="21" customHeight="1">
      <c r="A90" s="409" t="s">
        <v>214</v>
      </c>
      <c r="B90" s="410" t="s">
        <v>215</v>
      </c>
      <c r="C90" s="400">
        <v>0</v>
      </c>
      <c r="D90" s="400">
        <v>0</v>
      </c>
      <c r="E90" s="402" t="e">
        <f t="shared" si="2"/>
        <v>#DIV/0!</v>
      </c>
      <c r="F90" s="402">
        <f t="shared" si="3"/>
        <v>0</v>
      </c>
    </row>
    <row r="91" spans="1:7" ht="34.5" customHeight="1">
      <c r="A91" s="409" t="s">
        <v>339</v>
      </c>
      <c r="B91" s="410" t="s">
        <v>340</v>
      </c>
      <c r="C91" s="411">
        <v>335</v>
      </c>
      <c r="D91" s="400">
        <v>14.54</v>
      </c>
      <c r="E91" s="402">
        <f t="shared" si="2"/>
        <v>4.3402985074626868</v>
      </c>
      <c r="F91" s="402">
        <f t="shared" si="3"/>
        <v>-320.45999999999998</v>
      </c>
    </row>
    <row r="92" spans="1:7" s="6" customFormat="1" ht="27" customHeight="1">
      <c r="A92" s="395" t="s">
        <v>55</v>
      </c>
      <c r="B92" s="396" t="s">
        <v>56</v>
      </c>
      <c r="C92" s="412">
        <f>SUM(C93:C98)</f>
        <v>102861.75794999998</v>
      </c>
      <c r="D92" s="412">
        <f>SUM(D93:D98)</f>
        <v>8207.5835399999996</v>
      </c>
      <c r="E92" s="397">
        <f t="shared" si="2"/>
        <v>7.9792370882768884</v>
      </c>
      <c r="F92" s="397">
        <f t="shared" si="3"/>
        <v>-94654.174409999978</v>
      </c>
    </row>
    <row r="93" spans="1:7" ht="20.25" customHeight="1">
      <c r="A93" s="398" t="s">
        <v>397</v>
      </c>
      <c r="B93" s="399" t="s">
        <v>398</v>
      </c>
      <c r="C93" s="413">
        <v>200</v>
      </c>
      <c r="D93" s="413">
        <v>26.7</v>
      </c>
      <c r="E93" s="402">
        <f t="shared" si="2"/>
        <v>13.350000000000001</v>
      </c>
      <c r="F93" s="402">
        <f t="shared" si="3"/>
        <v>-173.3</v>
      </c>
    </row>
    <row r="94" spans="1:7" ht="0.75" customHeight="1">
      <c r="A94" s="398" t="s">
        <v>57</v>
      </c>
      <c r="B94" s="401" t="s">
        <v>58</v>
      </c>
      <c r="C94" s="413">
        <v>0</v>
      </c>
      <c r="D94" s="400">
        <v>0</v>
      </c>
      <c r="E94" s="402" t="e">
        <f t="shared" si="2"/>
        <v>#DIV/0!</v>
      </c>
      <c r="F94" s="402">
        <f t="shared" si="3"/>
        <v>0</v>
      </c>
    </row>
    <row r="95" spans="1:7" s="6" customFormat="1" ht="20.25" customHeight="1">
      <c r="A95" s="398" t="s">
        <v>57</v>
      </c>
      <c r="B95" s="401" t="s">
        <v>309</v>
      </c>
      <c r="C95" s="413">
        <v>87.9</v>
      </c>
      <c r="D95" s="400">
        <v>17.55</v>
      </c>
      <c r="E95" s="402">
        <f t="shared" si="2"/>
        <v>19.965870307167236</v>
      </c>
      <c r="F95" s="402">
        <f t="shared" si="3"/>
        <v>-70.350000000000009</v>
      </c>
      <c r="G95" s="50"/>
    </row>
    <row r="96" spans="1:7" s="6" customFormat="1" ht="20.25" customHeight="1">
      <c r="A96" s="398" t="s">
        <v>59</v>
      </c>
      <c r="B96" s="401" t="s">
        <v>392</v>
      </c>
      <c r="C96" s="413">
        <v>0</v>
      </c>
      <c r="D96" s="400">
        <v>0</v>
      </c>
      <c r="E96" s="402" t="e">
        <f t="shared" si="2"/>
        <v>#DIV/0!</v>
      </c>
      <c r="F96" s="402">
        <f t="shared" si="3"/>
        <v>0</v>
      </c>
      <c r="G96" s="50"/>
    </row>
    <row r="97" spans="1:6" ht="24" customHeight="1">
      <c r="A97" s="398" t="s">
        <v>61</v>
      </c>
      <c r="B97" s="401" t="s">
        <v>62</v>
      </c>
      <c r="C97" s="413">
        <v>99630.73</v>
      </c>
      <c r="D97" s="400">
        <v>7920.15254</v>
      </c>
      <c r="E97" s="402">
        <f t="shared" si="2"/>
        <v>7.9495076870359185</v>
      </c>
      <c r="F97" s="402">
        <f t="shared" si="3"/>
        <v>-91710.57746</v>
      </c>
    </row>
    <row r="98" spans="1:6" ht="40.5">
      <c r="A98" s="398" t="s">
        <v>63</v>
      </c>
      <c r="B98" s="401" t="s">
        <v>64</v>
      </c>
      <c r="C98" s="413">
        <v>2943.1279500000001</v>
      </c>
      <c r="D98" s="400">
        <v>243.18100000000001</v>
      </c>
      <c r="E98" s="402">
        <f t="shared" si="2"/>
        <v>8.2626716925439823</v>
      </c>
      <c r="F98" s="402">
        <f t="shared" si="3"/>
        <v>-2699.94695</v>
      </c>
    </row>
    <row r="99" spans="1:6" s="6" customFormat="1" ht="20.25">
      <c r="A99" s="395" t="s">
        <v>65</v>
      </c>
      <c r="B99" s="396" t="s">
        <v>66</v>
      </c>
      <c r="C99" s="386">
        <f>SUM(C100:C102)</f>
        <v>64177.359530000002</v>
      </c>
      <c r="D99" s="386">
        <f>SUM(D100:D102)</f>
        <v>92.173199999999994</v>
      </c>
      <c r="E99" s="397">
        <f t="shared" si="2"/>
        <v>0.14362261189152417</v>
      </c>
      <c r="F99" s="397">
        <f t="shared" si="3"/>
        <v>-64085.186330000004</v>
      </c>
    </row>
    <row r="100" spans="1:6" ht="20.25">
      <c r="A100" s="398" t="s">
        <v>67</v>
      </c>
      <c r="B100" s="414" t="s">
        <v>68</v>
      </c>
      <c r="C100" s="400">
        <v>500</v>
      </c>
      <c r="D100" s="400">
        <v>92.173199999999994</v>
      </c>
      <c r="E100" s="402">
        <f t="shared" si="2"/>
        <v>18.434639999999998</v>
      </c>
      <c r="F100" s="402">
        <f t="shared" si="3"/>
        <v>-407.82679999999999</v>
      </c>
    </row>
    <row r="101" spans="1:6" ht="23.25" customHeight="1">
      <c r="A101" s="398" t="s">
        <v>69</v>
      </c>
      <c r="B101" s="414" t="s">
        <v>70</v>
      </c>
      <c r="C101" s="400">
        <v>16321.1785</v>
      </c>
      <c r="D101" s="400">
        <v>0</v>
      </c>
      <c r="E101" s="402">
        <f t="shared" si="2"/>
        <v>0</v>
      </c>
      <c r="F101" s="402">
        <f t="shared" si="3"/>
        <v>-16321.1785</v>
      </c>
    </row>
    <row r="102" spans="1:6" ht="19.5" customHeight="1">
      <c r="A102" s="398" t="s">
        <v>71</v>
      </c>
      <c r="B102" s="401" t="s">
        <v>72</v>
      </c>
      <c r="C102" s="400">
        <v>47356.18103</v>
      </c>
      <c r="D102" s="400">
        <v>0</v>
      </c>
      <c r="E102" s="402">
        <f t="shared" si="2"/>
        <v>0</v>
      </c>
      <c r="F102" s="402">
        <f t="shared" si="3"/>
        <v>-47356.18103</v>
      </c>
    </row>
    <row r="103" spans="1:6" s="6" customFormat="1" ht="20.25">
      <c r="A103" s="395" t="s">
        <v>73</v>
      </c>
      <c r="B103" s="415" t="s">
        <v>74</v>
      </c>
      <c r="C103" s="412">
        <f>SUM(C104)</f>
        <v>50</v>
      </c>
      <c r="D103" s="412">
        <f>SUM(D104)</f>
        <v>0</v>
      </c>
      <c r="E103" s="397">
        <f t="shared" si="2"/>
        <v>0</v>
      </c>
      <c r="F103" s="397">
        <f t="shared" si="3"/>
        <v>-50</v>
      </c>
    </row>
    <row r="104" spans="1:6" ht="40.5">
      <c r="A104" s="398" t="s">
        <v>75</v>
      </c>
      <c r="B104" s="414" t="s">
        <v>76</v>
      </c>
      <c r="C104" s="402">
        <v>50</v>
      </c>
      <c r="D104" s="403">
        <v>0</v>
      </c>
      <c r="E104" s="402">
        <f t="shared" si="2"/>
        <v>0</v>
      </c>
      <c r="F104" s="402">
        <f t="shared" si="3"/>
        <v>-50</v>
      </c>
    </row>
    <row r="105" spans="1:6" s="6" customFormat="1" ht="20.25">
      <c r="A105" s="395" t="s">
        <v>77</v>
      </c>
      <c r="B105" s="415" t="s">
        <v>78</v>
      </c>
      <c r="C105" s="412">
        <f>SUM(C106:C110)</f>
        <v>510895.3321</v>
      </c>
      <c r="D105" s="412">
        <f>D106+D107+D109+D110+D108</f>
        <v>105650.44856</v>
      </c>
      <c r="E105" s="397">
        <f t="shared" si="2"/>
        <v>20.679470318456644</v>
      </c>
      <c r="F105" s="397">
        <f t="shared" si="3"/>
        <v>-405244.88354000001</v>
      </c>
    </row>
    <row r="106" spans="1:6" ht="20.25">
      <c r="A106" s="398" t="s">
        <v>79</v>
      </c>
      <c r="B106" s="414" t="s">
        <v>246</v>
      </c>
      <c r="C106" s="413">
        <v>123173.63499999999</v>
      </c>
      <c r="D106" s="400">
        <v>25051.020499999999</v>
      </c>
      <c r="E106" s="402">
        <f t="shared" si="2"/>
        <v>20.33797289492999</v>
      </c>
      <c r="F106" s="402">
        <f t="shared" si="3"/>
        <v>-98122.614499999996</v>
      </c>
    </row>
    <row r="107" spans="1:6" ht="20.25">
      <c r="A107" s="398" t="s">
        <v>80</v>
      </c>
      <c r="B107" s="414" t="s">
        <v>247</v>
      </c>
      <c r="C107" s="413">
        <v>358784.36709999997</v>
      </c>
      <c r="D107" s="400">
        <v>73841.942809999993</v>
      </c>
      <c r="E107" s="402">
        <f t="shared" si="2"/>
        <v>20.581148339001864</v>
      </c>
      <c r="F107" s="402">
        <f t="shared" si="3"/>
        <v>-284942.42429</v>
      </c>
    </row>
    <row r="108" spans="1:6" ht="20.25">
      <c r="A108" s="398" t="s">
        <v>318</v>
      </c>
      <c r="B108" s="414" t="s">
        <v>319</v>
      </c>
      <c r="C108" s="413">
        <v>21192.13</v>
      </c>
      <c r="D108" s="400">
        <v>6298.0672800000002</v>
      </c>
      <c r="E108" s="402">
        <f t="shared" si="2"/>
        <v>29.718896967883836</v>
      </c>
      <c r="F108" s="402">
        <f t="shared" si="3"/>
        <v>-14894.062720000002</v>
      </c>
    </row>
    <row r="109" spans="1:6" ht="20.25">
      <c r="A109" s="398" t="s">
        <v>81</v>
      </c>
      <c r="B109" s="414" t="s">
        <v>248</v>
      </c>
      <c r="C109" s="413">
        <v>5132.8999999999996</v>
      </c>
      <c r="D109" s="400">
        <v>15.3</v>
      </c>
      <c r="E109" s="402">
        <f t="shared" si="2"/>
        <v>0.2980771104054239</v>
      </c>
      <c r="F109" s="402">
        <f t="shared" si="3"/>
        <v>-5117.5999999999995</v>
      </c>
    </row>
    <row r="110" spans="1:6" ht="20.25">
      <c r="A110" s="398" t="s">
        <v>82</v>
      </c>
      <c r="B110" s="414" t="s">
        <v>249</v>
      </c>
      <c r="C110" s="413">
        <v>2612.3000000000002</v>
      </c>
      <c r="D110" s="400">
        <v>444.11797000000001</v>
      </c>
      <c r="E110" s="402">
        <f t="shared" si="2"/>
        <v>17.001032423534816</v>
      </c>
      <c r="F110" s="402">
        <f t="shared" si="3"/>
        <v>-2168.1820299999999</v>
      </c>
    </row>
    <row r="111" spans="1:6" s="6" customFormat="1" ht="20.25">
      <c r="A111" s="395" t="s">
        <v>83</v>
      </c>
      <c r="B111" s="396" t="s">
        <v>84</v>
      </c>
      <c r="C111" s="386">
        <f>SUM(C112:C113)</f>
        <v>76876.346990000005</v>
      </c>
      <c r="D111" s="386">
        <f>SUM(D112:D113)</f>
        <v>9516.2466199999999</v>
      </c>
      <c r="E111" s="397">
        <f t="shared" si="2"/>
        <v>12.37864049554522</v>
      </c>
      <c r="F111" s="397">
        <f t="shared" si="3"/>
        <v>-67360.10037</v>
      </c>
    </row>
    <row r="112" spans="1:6" ht="20.25">
      <c r="A112" s="398" t="s">
        <v>85</v>
      </c>
      <c r="B112" s="401" t="s">
        <v>229</v>
      </c>
      <c r="C112" s="400">
        <v>75635.99699</v>
      </c>
      <c r="D112" s="400">
        <v>9256.8237800000006</v>
      </c>
      <c r="E112" s="402">
        <f t="shared" si="2"/>
        <v>12.238648458912845</v>
      </c>
      <c r="F112" s="402">
        <f t="shared" si="3"/>
        <v>-66379.173209999994</v>
      </c>
    </row>
    <row r="113" spans="1:7" ht="40.5">
      <c r="A113" s="398" t="s">
        <v>258</v>
      </c>
      <c r="B113" s="401" t="s">
        <v>259</v>
      </c>
      <c r="C113" s="400">
        <v>1240.3499999999999</v>
      </c>
      <c r="D113" s="400">
        <v>259.42284000000001</v>
      </c>
      <c r="E113" s="402">
        <f t="shared" si="2"/>
        <v>20.915293263998066</v>
      </c>
      <c r="F113" s="402">
        <f t="shared" si="3"/>
        <v>-980.92715999999996</v>
      </c>
    </row>
    <row r="114" spans="1:7" s="6" customFormat="1" ht="20.25">
      <c r="A114" s="416">
        <v>1000</v>
      </c>
      <c r="B114" s="396" t="s">
        <v>86</v>
      </c>
      <c r="C114" s="386">
        <f>SUM(C115:C118)</f>
        <v>39365.292109999995</v>
      </c>
      <c r="D114" s="449">
        <f>D115+D116+D117+D118</f>
        <v>1737.8190500000001</v>
      </c>
      <c r="E114" s="397">
        <f t="shared" si="2"/>
        <v>4.4145971155096309</v>
      </c>
      <c r="F114" s="397">
        <f t="shared" si="3"/>
        <v>-37627.473059999997</v>
      </c>
      <c r="G114" s="94"/>
    </row>
    <row r="115" spans="1:7" ht="20.25">
      <c r="A115" s="417">
        <v>1001</v>
      </c>
      <c r="B115" s="418" t="s">
        <v>87</v>
      </c>
      <c r="C115" s="400">
        <v>60</v>
      </c>
      <c r="D115" s="400">
        <v>11.81114</v>
      </c>
      <c r="E115" s="402">
        <f t="shared" si="2"/>
        <v>19.685233333333333</v>
      </c>
      <c r="F115" s="402">
        <f t="shared" si="3"/>
        <v>-48.188859999999998</v>
      </c>
    </row>
    <row r="116" spans="1:7" ht="20.25">
      <c r="A116" s="417">
        <v>1003</v>
      </c>
      <c r="B116" s="418" t="s">
        <v>88</v>
      </c>
      <c r="C116" s="400">
        <v>10397.836359999999</v>
      </c>
      <c r="D116" s="400">
        <v>1423.9096300000001</v>
      </c>
      <c r="E116" s="402">
        <f t="shared" si="2"/>
        <v>13.694287741223887</v>
      </c>
      <c r="F116" s="402">
        <f t="shared" si="3"/>
        <v>-8973.9267299999992</v>
      </c>
    </row>
    <row r="117" spans="1:7" ht="20.25">
      <c r="A117" s="417">
        <v>1004</v>
      </c>
      <c r="B117" s="418" t="s">
        <v>89</v>
      </c>
      <c r="C117" s="400">
        <v>28756.855749999999</v>
      </c>
      <c r="D117" s="450">
        <v>267.51330999999999</v>
      </c>
      <c r="E117" s="402">
        <f t="shared" si="2"/>
        <v>0.93025924783171043</v>
      </c>
      <c r="F117" s="402">
        <f t="shared" si="3"/>
        <v>-28489.34244</v>
      </c>
    </row>
    <row r="118" spans="1:7" ht="20.25" customHeight="1">
      <c r="A118" s="398" t="s">
        <v>90</v>
      </c>
      <c r="B118" s="401" t="s">
        <v>91</v>
      </c>
      <c r="C118" s="400">
        <v>150.6</v>
      </c>
      <c r="D118" s="400">
        <v>34.584969999999998</v>
      </c>
      <c r="E118" s="402">
        <f t="shared" si="2"/>
        <v>22.964787516600264</v>
      </c>
      <c r="F118" s="402">
        <f t="shared" si="3"/>
        <v>-116.01503</v>
      </c>
    </row>
    <row r="119" spans="1:7" ht="20.25">
      <c r="A119" s="395" t="s">
        <v>92</v>
      </c>
      <c r="B119" s="396" t="s">
        <v>93</v>
      </c>
      <c r="C119" s="386">
        <f>C120+C121</f>
        <v>38714.695</v>
      </c>
      <c r="D119" s="386">
        <f>D120+D121</f>
        <v>1883.3670999999999</v>
      </c>
      <c r="E119" s="402">
        <f t="shared" si="2"/>
        <v>4.8647344374016122</v>
      </c>
      <c r="F119" s="386">
        <f>F120+F121+F122+F123+F124</f>
        <v>-36831.327899999997</v>
      </c>
    </row>
    <row r="120" spans="1:7" ht="20.25">
      <c r="A120" s="398" t="s">
        <v>94</v>
      </c>
      <c r="B120" s="401" t="s">
        <v>95</v>
      </c>
      <c r="C120" s="400">
        <v>450</v>
      </c>
      <c r="D120" s="400">
        <v>87.702100000000002</v>
      </c>
      <c r="E120" s="402">
        <f t="shared" si="2"/>
        <v>19.489355555555559</v>
      </c>
      <c r="F120" s="402">
        <f t="shared" ref="F120:F128" si="4">SUM(D120-C120)</f>
        <v>-362.29790000000003</v>
      </c>
    </row>
    <row r="121" spans="1:7" ht="20.25" customHeight="1">
      <c r="A121" s="398" t="s">
        <v>96</v>
      </c>
      <c r="B121" s="401" t="s">
        <v>97</v>
      </c>
      <c r="C121" s="400">
        <v>38264.695</v>
      </c>
      <c r="D121" s="400">
        <v>1795.665</v>
      </c>
      <c r="E121" s="402">
        <f t="shared" si="2"/>
        <v>4.6927461462844535</v>
      </c>
      <c r="F121" s="402">
        <f t="shared" si="4"/>
        <v>-36469.03</v>
      </c>
    </row>
    <row r="122" spans="1:7" ht="21" customHeight="1">
      <c r="A122" s="398" t="s">
        <v>98</v>
      </c>
      <c r="B122" s="401" t="s">
        <v>99</v>
      </c>
      <c r="C122" s="400">
        <v>0</v>
      </c>
      <c r="D122" s="400">
        <v>0</v>
      </c>
      <c r="E122" s="402" t="e">
        <f t="shared" si="2"/>
        <v>#DIV/0!</v>
      </c>
      <c r="F122" s="402"/>
    </row>
    <row r="123" spans="1:7" ht="21" customHeight="1">
      <c r="A123" s="398" t="s">
        <v>100</v>
      </c>
      <c r="B123" s="401" t="s">
        <v>101</v>
      </c>
      <c r="C123" s="400"/>
      <c r="D123" s="400"/>
      <c r="E123" s="402" t="e">
        <f t="shared" si="2"/>
        <v>#DIV/0!</v>
      </c>
      <c r="F123" s="402"/>
    </row>
    <row r="124" spans="1:7" ht="21" customHeight="1">
      <c r="A124" s="398" t="s">
        <v>102</v>
      </c>
      <c r="B124" s="401" t="s">
        <v>103</v>
      </c>
      <c r="C124" s="400"/>
      <c r="D124" s="400"/>
      <c r="E124" s="402" t="e">
        <f t="shared" si="2"/>
        <v>#DIV/0!</v>
      </c>
      <c r="F124" s="402"/>
    </row>
    <row r="125" spans="1:7" ht="20.25" customHeight="1">
      <c r="A125" s="395" t="s">
        <v>104</v>
      </c>
      <c r="B125" s="396" t="s">
        <v>105</v>
      </c>
      <c r="C125" s="386">
        <f>C126</f>
        <v>45</v>
      </c>
      <c r="D125" s="451">
        <f>D126</f>
        <v>0</v>
      </c>
      <c r="E125" s="402">
        <f>SUM(D125/C125*100)</f>
        <v>0</v>
      </c>
      <c r="F125" s="402">
        <f t="shared" si="4"/>
        <v>-45</v>
      </c>
    </row>
    <row r="126" spans="1:7" ht="22.5" customHeight="1">
      <c r="A126" s="398" t="s">
        <v>106</v>
      </c>
      <c r="B126" s="401" t="s">
        <v>107</v>
      </c>
      <c r="C126" s="400">
        <v>45</v>
      </c>
      <c r="D126" s="400">
        <v>0</v>
      </c>
      <c r="E126" s="402">
        <f t="shared" si="2"/>
        <v>0</v>
      </c>
      <c r="F126" s="402">
        <f t="shared" si="4"/>
        <v>-45</v>
      </c>
    </row>
    <row r="127" spans="1:7" ht="19.5" customHeight="1">
      <c r="A127" s="395" t="s">
        <v>108</v>
      </c>
      <c r="B127" s="405" t="s">
        <v>109</v>
      </c>
      <c r="C127" s="419">
        <f>C128</f>
        <v>0</v>
      </c>
      <c r="D127" s="419">
        <v>0</v>
      </c>
      <c r="E127" s="402"/>
      <c r="F127" s="397">
        <f t="shared" si="4"/>
        <v>0</v>
      </c>
    </row>
    <row r="128" spans="1:7" ht="37.5" customHeight="1">
      <c r="A128" s="398" t="s">
        <v>110</v>
      </c>
      <c r="B128" s="407" t="s">
        <v>111</v>
      </c>
      <c r="C128" s="403">
        <v>0</v>
      </c>
      <c r="D128" s="403">
        <v>0</v>
      </c>
      <c r="E128" s="397"/>
      <c r="F128" s="402">
        <f t="shared" si="4"/>
        <v>0</v>
      </c>
    </row>
    <row r="129" spans="1:8" s="6" customFormat="1" ht="19.5" customHeight="1">
      <c r="A129" s="416">
        <v>1400</v>
      </c>
      <c r="B129" s="420" t="s">
        <v>112</v>
      </c>
      <c r="C129" s="412">
        <f>C130+C131+C132</f>
        <v>55346.026949999999</v>
      </c>
      <c r="D129" s="412">
        <f>D130+D131+D132</f>
        <v>7376.8755000000001</v>
      </c>
      <c r="E129" s="397">
        <f t="shared" si="2"/>
        <v>13.328645083529342</v>
      </c>
      <c r="F129" s="397">
        <f t="shared" si="3"/>
        <v>-47969.151449999998</v>
      </c>
    </row>
    <row r="130" spans="1:8" ht="40.5" customHeight="1">
      <c r="A130" s="417">
        <v>1401</v>
      </c>
      <c r="B130" s="418" t="s">
        <v>113</v>
      </c>
      <c r="C130" s="413">
        <v>29508</v>
      </c>
      <c r="D130" s="400">
        <v>7376.8755000000001</v>
      </c>
      <c r="E130" s="402">
        <f t="shared" si="2"/>
        <v>24.999578080520539</v>
      </c>
      <c r="F130" s="402">
        <f t="shared" si="3"/>
        <v>-22131.124499999998</v>
      </c>
    </row>
    <row r="131" spans="1:8" ht="24.75" customHeight="1">
      <c r="A131" s="417">
        <v>1402</v>
      </c>
      <c r="B131" s="418" t="s">
        <v>114</v>
      </c>
      <c r="C131" s="413">
        <v>5152.2529999999997</v>
      </c>
      <c r="D131" s="400">
        <v>0</v>
      </c>
      <c r="E131" s="402">
        <f t="shared" si="2"/>
        <v>0</v>
      </c>
      <c r="F131" s="402">
        <f t="shared" si="3"/>
        <v>-5152.2529999999997</v>
      </c>
    </row>
    <row r="132" spans="1:8" ht="27" customHeight="1">
      <c r="A132" s="417">
        <v>1403</v>
      </c>
      <c r="B132" s="418" t="s">
        <v>115</v>
      </c>
      <c r="C132" s="413">
        <v>20685.773949999999</v>
      </c>
      <c r="D132" s="400">
        <v>0</v>
      </c>
      <c r="E132" s="402">
        <f t="shared" si="2"/>
        <v>0</v>
      </c>
      <c r="F132" s="402">
        <f t="shared" si="3"/>
        <v>-20685.773949999999</v>
      </c>
    </row>
    <row r="133" spans="1:8" s="6" customFormat="1" ht="20.25">
      <c r="A133" s="416"/>
      <c r="B133" s="421" t="s">
        <v>116</v>
      </c>
      <c r="C133" s="458">
        <f>C76+C84+C86+C92+C99+C103+C105+C111+C114+C119+C125+C127+C129</f>
        <v>944838.73674999992</v>
      </c>
      <c r="D133" s="458">
        <f>D76+D84+D86+D92+D99+D103+D105+D111+D114+D119+D125+D127+D129</f>
        <v>145841.57090999998</v>
      </c>
      <c r="E133" s="397">
        <f t="shared" si="2"/>
        <v>15.435604536246803</v>
      </c>
      <c r="F133" s="397">
        <f t="shared" si="3"/>
        <v>-798997.16583999991</v>
      </c>
      <c r="G133" s="94"/>
      <c r="H133" s="94"/>
    </row>
    <row r="134" spans="1:8" ht="20.25">
      <c r="A134" s="422"/>
      <c r="B134" s="423"/>
      <c r="C134" s="424"/>
      <c r="D134" s="435"/>
      <c r="E134" s="425"/>
      <c r="F134" s="425"/>
    </row>
    <row r="135" spans="1:8" s="65" customFormat="1" ht="20.25">
      <c r="A135" s="426" t="s">
        <v>117</v>
      </c>
      <c r="B135" s="426"/>
      <c r="C135" s="427"/>
      <c r="D135" s="427"/>
      <c r="E135" s="428"/>
      <c r="F135" s="428"/>
    </row>
    <row r="136" spans="1:8" s="65" customFormat="1" ht="20.25">
      <c r="A136" s="429" t="s">
        <v>118</v>
      </c>
      <c r="B136" s="429"/>
      <c r="C136" s="427" t="s">
        <v>119</v>
      </c>
      <c r="D136" s="427"/>
      <c r="E136" s="428"/>
      <c r="F136" s="428"/>
    </row>
  </sheetData>
  <customSheetViews>
    <customSheetView guid="{61528DAC-5C4C-48F4-ADE2-8A724B05A086}" scale="60" showPageBreaks="1" printArea="1" view="pageBreakPreview" topLeftCell="A40">
      <selection activeCell="D61" sqref="D61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B30CE22D-C12F-4E12-8BB9-3AAE0A6991CC}" scale="60" showPageBreaks="1" printArea="1" hiddenRows="1" view="pageBreakPreview" topLeftCell="A95">
      <selection activeCell="C133" sqref="C133:D133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4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8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3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6" zoomScale="70" zoomScaleNormal="100" zoomScaleSheetLayoutView="70" workbookViewId="0">
      <selection activeCell="D45" sqref="D4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23" t="s">
        <v>411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110.76443999999999</v>
      </c>
      <c r="E4" s="5">
        <f>SUM(D4/C4*100)</f>
        <v>17.996432053031779</v>
      </c>
      <c r="F4" s="5">
        <f>SUM(D4-C4)</f>
        <v>-504.71556000000004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7.0953799999999996</v>
      </c>
      <c r="E5" s="5">
        <f t="shared" ref="E5:E47" si="0">SUM(D5/C5*100)</f>
        <v>7.9013140311804007</v>
      </c>
      <c r="F5" s="5">
        <f t="shared" ref="F5:F47" si="1">SUM(D5-C5)</f>
        <v>-82.704619999999991</v>
      </c>
    </row>
    <row r="6" spans="1:6">
      <c r="A6" s="7">
        <v>1010200001</v>
      </c>
      <c r="B6" s="8" t="s">
        <v>224</v>
      </c>
      <c r="C6" s="9">
        <v>89.8</v>
      </c>
      <c r="D6" s="10">
        <v>7.0953799999999996</v>
      </c>
      <c r="E6" s="9">
        <f t="shared" ref="E6:E11" si="2">SUM(D6/C6*100)</f>
        <v>7.9013140311804007</v>
      </c>
      <c r="F6" s="9">
        <f t="shared" si="1"/>
        <v>-82.704619999999991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59.403579999999998</v>
      </c>
      <c r="E7" s="9">
        <f t="shared" si="2"/>
        <v>23.143049711703291</v>
      </c>
      <c r="F7" s="9">
        <f t="shared" si="1"/>
        <v>-197.27641999999994</v>
      </c>
    </row>
    <row r="8" spans="1:6">
      <c r="A8" s="7">
        <v>1030223001</v>
      </c>
      <c r="B8" s="8" t="s">
        <v>268</v>
      </c>
      <c r="C8" s="9">
        <v>95.74</v>
      </c>
      <c r="D8" s="10">
        <v>26.958549999999999</v>
      </c>
      <c r="E8" s="9">
        <f t="shared" si="2"/>
        <v>28.158084395237097</v>
      </c>
      <c r="F8" s="9">
        <f t="shared" si="1"/>
        <v>-68.781449999999992</v>
      </c>
    </row>
    <row r="9" spans="1:6">
      <c r="A9" s="7">
        <v>1030224001</v>
      </c>
      <c r="B9" s="8" t="s">
        <v>272</v>
      </c>
      <c r="C9" s="9">
        <v>1.03</v>
      </c>
      <c r="D9" s="10">
        <v>0.17574000000000001</v>
      </c>
      <c r="E9" s="9">
        <f t="shared" si="2"/>
        <v>17.062135922330096</v>
      </c>
      <c r="F9" s="9">
        <f t="shared" si="1"/>
        <v>-0.85426000000000002</v>
      </c>
    </row>
    <row r="10" spans="1:6">
      <c r="A10" s="7">
        <v>1030225001</v>
      </c>
      <c r="B10" s="8" t="s">
        <v>267</v>
      </c>
      <c r="C10" s="9">
        <v>159.91</v>
      </c>
      <c r="D10" s="10">
        <v>37.837769999999999</v>
      </c>
      <c r="E10" s="9">
        <f t="shared" si="2"/>
        <v>23.661916077793759</v>
      </c>
      <c r="F10" s="9">
        <f t="shared" si="1"/>
        <v>-122.07222999999999</v>
      </c>
    </row>
    <row r="11" spans="1:6">
      <c r="A11" s="7">
        <v>1030226001</v>
      </c>
      <c r="B11" s="8" t="s">
        <v>273</v>
      </c>
      <c r="C11" s="9">
        <v>0</v>
      </c>
      <c r="D11" s="10">
        <v>-5.5684800000000001</v>
      </c>
      <c r="E11" s="9" t="e">
        <f t="shared" si="2"/>
        <v>#DIV/0!</v>
      </c>
      <c r="F11" s="9">
        <f t="shared" si="1"/>
        <v>-5.5684800000000001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19.248180000000001</v>
      </c>
      <c r="E14" s="5">
        <f t="shared" si="0"/>
        <v>8.3325454545454551</v>
      </c>
      <c r="F14" s="5">
        <f t="shared" si="1"/>
        <v>-211.75182000000001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3.0829399999999998</v>
      </c>
      <c r="E15" s="9">
        <f t="shared" si="0"/>
        <v>8.1129999999999995</v>
      </c>
      <c r="F15" s="9">
        <f>SUM(D15-C15)</f>
        <v>-34.917059999999999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16.165240000000001</v>
      </c>
      <c r="E16" s="9">
        <f t="shared" si="0"/>
        <v>8.375772020725389</v>
      </c>
      <c r="F16" s="9">
        <f t="shared" si="1"/>
        <v>-176.83475999999999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0.9</v>
      </c>
      <c r="E17" s="9">
        <f t="shared" si="0"/>
        <v>30</v>
      </c>
      <c r="F17" s="5">
        <f t="shared" si="1"/>
        <v>-2.1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0.9</v>
      </c>
      <c r="E18" s="9">
        <f t="shared" si="0"/>
        <v>30</v>
      </c>
      <c r="F18" s="9">
        <f t="shared" si="1"/>
        <v>-2.1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0</v>
      </c>
      <c r="E25" s="5">
        <f t="shared" si="0"/>
        <v>0</v>
      </c>
      <c r="F25" s="5">
        <f t="shared" si="1"/>
        <v>-54.3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0</v>
      </c>
      <c r="E26" s="5">
        <f t="shared" si="0"/>
        <v>0</v>
      </c>
      <c r="F26" s="5">
        <f t="shared" si="1"/>
        <v>-54.3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0</v>
      </c>
      <c r="E27" s="9">
        <f t="shared" si="0"/>
        <v>0</v>
      </c>
      <c r="F27" s="9">
        <f t="shared" si="1"/>
        <v>-54.3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110.76443999999999</v>
      </c>
      <c r="E37" s="5">
        <f t="shared" si="0"/>
        <v>16.537436173071754</v>
      </c>
      <c r="F37" s="5">
        <f t="shared" si="1"/>
        <v>-559.01555999999994</v>
      </c>
    </row>
    <row r="38" spans="1:11" s="6" customFormat="1">
      <c r="A38" s="3">
        <v>2000000000</v>
      </c>
      <c r="B38" s="4" t="s">
        <v>17</v>
      </c>
      <c r="C38" s="194">
        <f>C39+C40+C41+C42+C43+C44</f>
        <v>2139.652</v>
      </c>
      <c r="D38" s="474">
        <f>D39+D40+D41+D42+D43+D45+D44</f>
        <v>320.99610000000001</v>
      </c>
      <c r="E38" s="5">
        <f t="shared" si="0"/>
        <v>15.002257376433178</v>
      </c>
      <c r="F38" s="5">
        <f t="shared" si="1"/>
        <v>-1818.6559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298.596</v>
      </c>
      <c r="E39" s="9">
        <f t="shared" si="0"/>
        <v>24.999665103817815</v>
      </c>
      <c r="F39" s="9">
        <f t="shared" si="1"/>
        <v>-895.80400000000009</v>
      </c>
    </row>
    <row r="40" spans="1:11">
      <c r="A40" s="16">
        <v>2021500200</v>
      </c>
      <c r="B40" s="17" t="s">
        <v>227</v>
      </c>
      <c r="C40" s="223">
        <v>100</v>
      </c>
      <c r="D40" s="20">
        <v>0</v>
      </c>
      <c r="E40" s="9">
        <f>SUM(D40/C40*100)</f>
        <v>0</v>
      </c>
      <c r="F40" s="9">
        <f>SUM(D40-C40)</f>
        <v>-100</v>
      </c>
    </row>
    <row r="41" spans="1:11">
      <c r="A41" s="16">
        <v>2022000000</v>
      </c>
      <c r="B41" s="17" t="s">
        <v>19</v>
      </c>
      <c r="C41" s="223">
        <v>751.93</v>
      </c>
      <c r="D41" s="10">
        <v>0</v>
      </c>
      <c r="E41" s="9">
        <f t="shared" si="0"/>
        <v>0</v>
      </c>
      <c r="F41" s="9">
        <f t="shared" si="1"/>
        <v>-751.93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22.400099999999998</v>
      </c>
      <c r="E42" s="9">
        <f t="shared" si="0"/>
        <v>24.003021795503738</v>
      </c>
      <c r="F42" s="9">
        <f t="shared" si="1"/>
        <v>-70.921900000000008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0</v>
      </c>
      <c r="D44" s="188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4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67">
        <f>C37+C38</f>
        <v>2809.4319999999998</v>
      </c>
      <c r="D47" s="466">
        <f>D37+D38</f>
        <v>431.76053999999999</v>
      </c>
      <c r="E47" s="269">
        <f t="shared" si="0"/>
        <v>15.368250237058595</v>
      </c>
      <c r="F47" s="269">
        <f t="shared" si="1"/>
        <v>-2377.6714599999996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118.68475999999998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402</v>
      </c>
      <c r="D50" s="180" t="s">
        <v>413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164.42352</v>
      </c>
      <c r="E52" s="34">
        <f>SUM(D52/C52*100)</f>
        <v>14.451321219045942</v>
      </c>
      <c r="F52" s="34">
        <f>SUM(D52-C52)</f>
        <v>-973.35148000000004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164.42352</v>
      </c>
      <c r="E54" s="38">
        <f>SUM(D54/C54*100)</f>
        <v>14.759741472172353</v>
      </c>
      <c r="F54" s="38">
        <f t="shared" ref="F54:F94" si="3">SUM(D54-C54)</f>
        <v>-949.57647999999995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0</v>
      </c>
      <c r="E59" s="38">
        <f t="shared" si="4"/>
        <v>0</v>
      </c>
      <c r="F59" s="38">
        <f t="shared" si="3"/>
        <v>-6.7750000000000004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17.79326</v>
      </c>
      <c r="E60" s="34">
        <f t="shared" si="4"/>
        <v>19.695446193354144</v>
      </c>
      <c r="F60" s="34">
        <f t="shared" si="3"/>
        <v>-72.548739999999995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17.79326</v>
      </c>
      <c r="E61" s="38">
        <f t="shared" si="4"/>
        <v>19.695446193354144</v>
      </c>
      <c r="F61" s="38">
        <f t="shared" si="3"/>
        <v>-72.548739999999995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10</v>
      </c>
      <c r="D62" s="22">
        <f>D65+D66+D67</f>
        <v>0</v>
      </c>
      <c r="E62" s="34">
        <f t="shared" si="4"/>
        <v>0</v>
      </c>
      <c r="F62" s="34">
        <f t="shared" si="3"/>
        <v>-10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1</v>
      </c>
      <c r="D65" s="92">
        <v>0</v>
      </c>
      <c r="E65" s="34">
        <f t="shared" si="4"/>
        <v>0</v>
      </c>
      <c r="F65" s="34">
        <f t="shared" si="3"/>
        <v>-1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1166.02604</v>
      </c>
      <c r="D68" s="105">
        <f>D71+D72+D69+D70</f>
        <v>58.859000000000002</v>
      </c>
      <c r="E68" s="34">
        <f t="shared" si="4"/>
        <v>5.0478289490001442</v>
      </c>
      <c r="F68" s="34">
        <f t="shared" si="3"/>
        <v>-1107.16704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12</v>
      </c>
      <c r="D70" s="92">
        <v>0</v>
      </c>
      <c r="E70" s="38">
        <f t="shared" si="4"/>
        <v>0</v>
      </c>
      <c r="F70" s="38">
        <f t="shared" si="3"/>
        <v>-12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58.859000000000002</v>
      </c>
      <c r="E71" s="38">
        <f t="shared" si="4"/>
        <v>5.1321510363127736</v>
      </c>
      <c r="F71" s="38">
        <f t="shared" si="3"/>
        <v>-1088.0090400000001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</f>
        <v>275.04700000000003</v>
      </c>
      <c r="D73" s="22">
        <f>D76</f>
        <v>0</v>
      </c>
      <c r="E73" s="34">
        <f t="shared" si="4"/>
        <v>0</v>
      </c>
      <c r="F73" s="34">
        <f t="shared" si="3"/>
        <v>-275.04700000000003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idden="1">
      <c r="A75" s="35" t="s">
        <v>69</v>
      </c>
      <c r="B75" s="51" t="s">
        <v>70</v>
      </c>
      <c r="C75" s="92"/>
      <c r="D75" s="92"/>
      <c r="E75" s="38" t="e">
        <f t="shared" si="4"/>
        <v>#DIV/0!</v>
      </c>
      <c r="F75" s="38">
        <f t="shared" si="3"/>
        <v>0</v>
      </c>
    </row>
    <row r="76" spans="1:7" ht="16.5" customHeight="1">
      <c r="A76" s="35" t="s">
        <v>71</v>
      </c>
      <c r="B76" s="39" t="s">
        <v>72</v>
      </c>
      <c r="C76" s="92">
        <v>275.04700000000003</v>
      </c>
      <c r="D76" s="92">
        <v>0</v>
      </c>
      <c r="E76" s="38">
        <f t="shared" si="4"/>
        <v>0</v>
      </c>
      <c r="F76" s="38">
        <f t="shared" si="3"/>
        <v>-275.04700000000003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72</v>
      </c>
      <c r="E77" s="34">
        <f t="shared" si="4"/>
        <v>25.441696113074201</v>
      </c>
      <c r="F77" s="34">
        <f t="shared" si="3"/>
        <v>-211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72</v>
      </c>
      <c r="E78" s="38">
        <f t="shared" si="4"/>
        <v>25.441696113074201</v>
      </c>
      <c r="F78" s="38">
        <f t="shared" si="3"/>
        <v>-211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102">
        <f>C52+C60+C62+C68+C73+C77+C84</f>
        <v>2964.19004</v>
      </c>
      <c r="D94" s="102">
        <f>D52+D60+D62+D68+D73+D77+D79+D84+D90</f>
        <v>313.07578000000001</v>
      </c>
      <c r="E94" s="128">
        <f t="shared" si="4"/>
        <v>10.561933471714925</v>
      </c>
      <c r="F94" s="34">
        <f t="shared" si="3"/>
        <v>-2651.1142599999998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26">
      <selection activeCell="D45" sqref="D4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B30CE22D-C12F-4E12-8BB9-3AAE0A6991CC}" scale="70" showPageBreaks="1" printArea="1" hiddenRows="1" view="pageBreakPreview" topLeftCell="A29">
      <selection activeCell="D94" sqref="C94:D9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3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4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7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topLeftCell="A13" zoomScale="70" zoomScaleNormal="100" zoomScaleSheetLayoutView="70" workbookViewId="0">
      <selection activeCell="D101" sqref="D101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415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135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404.94033999999999</v>
      </c>
      <c r="E4" s="5">
        <f>SUM(D4/C4*100)</f>
        <v>11.393418979449434</v>
      </c>
      <c r="F4" s="5">
        <f>SUM(D4-C4)</f>
        <v>-3149.2196599999997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75.091449999999995</v>
      </c>
      <c r="E5" s="5">
        <f t="shared" ref="E5:E52" si="0">SUM(D5/C5*100)</f>
        <v>18.605413776015855</v>
      </c>
      <c r="F5" s="5">
        <f t="shared" ref="F5:F52" si="1">SUM(D5-C5)</f>
        <v>-328.50855000000001</v>
      </c>
    </row>
    <row r="6" spans="1:6">
      <c r="A6" s="7">
        <v>1010200001</v>
      </c>
      <c r="B6" s="8" t="s">
        <v>224</v>
      </c>
      <c r="C6" s="9">
        <v>403.6</v>
      </c>
      <c r="D6" s="10">
        <v>75.091449999999995</v>
      </c>
      <c r="E6" s="9">
        <f t="shared" ref="E6:E11" si="2">SUM(D6/C6*100)</f>
        <v>18.605413776015855</v>
      </c>
      <c r="F6" s="9">
        <f t="shared" si="1"/>
        <v>-328.50855000000001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171.15298000000001</v>
      </c>
      <c r="E7" s="5">
        <f t="shared" si="2"/>
        <v>23.142541511168805</v>
      </c>
      <c r="F7" s="5">
        <f t="shared" si="1"/>
        <v>-568.4070200000001</v>
      </c>
    </row>
    <row r="8" spans="1:6">
      <c r="A8" s="7">
        <v>1030223001</v>
      </c>
      <c r="B8" s="8" t="s">
        <v>268</v>
      </c>
      <c r="C8" s="9">
        <v>275.86</v>
      </c>
      <c r="D8" s="10">
        <v>77.672700000000006</v>
      </c>
      <c r="E8" s="9">
        <f t="shared" si="2"/>
        <v>28.156564924236932</v>
      </c>
      <c r="F8" s="9">
        <f t="shared" si="1"/>
        <v>-198.18729999999999</v>
      </c>
    </row>
    <row r="9" spans="1:6">
      <c r="A9" s="7">
        <v>1030224001</v>
      </c>
      <c r="B9" s="8" t="s">
        <v>274</v>
      </c>
      <c r="C9" s="9">
        <v>2.95</v>
      </c>
      <c r="D9" s="10">
        <v>0.50636000000000003</v>
      </c>
      <c r="E9" s="9">
        <f t="shared" si="2"/>
        <v>17.164745762711863</v>
      </c>
      <c r="F9" s="9">
        <f t="shared" si="1"/>
        <v>-2.4436400000000003</v>
      </c>
    </row>
    <row r="10" spans="1:6">
      <c r="A10" s="7">
        <v>1030225001</v>
      </c>
      <c r="B10" s="8" t="s">
        <v>267</v>
      </c>
      <c r="C10" s="9">
        <v>460.75</v>
      </c>
      <c r="D10" s="10">
        <v>109.01776</v>
      </c>
      <c r="E10" s="9">
        <f t="shared" si="2"/>
        <v>23.66093543136191</v>
      </c>
      <c r="F10" s="9">
        <f t="shared" si="1"/>
        <v>-351.73223999999999</v>
      </c>
    </row>
    <row r="11" spans="1:6">
      <c r="A11" s="7">
        <v>1030226001</v>
      </c>
      <c r="B11" s="8" t="s">
        <v>276</v>
      </c>
      <c r="C11" s="9">
        <v>0</v>
      </c>
      <c r="D11" s="10">
        <v>-16.043839999999999</v>
      </c>
      <c r="E11" s="9" t="e">
        <f t="shared" si="2"/>
        <v>#DIV/0!</v>
      </c>
      <c r="F11" s="9">
        <f t="shared" si="1"/>
        <v>-16.043839999999999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6.6672000000000002</v>
      </c>
      <c r="E12" s="5">
        <f t="shared" si="0"/>
        <v>16.667999999999999</v>
      </c>
      <c r="F12" s="5">
        <f t="shared" si="1"/>
        <v>-33.332799999999999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6.6672000000000002</v>
      </c>
      <c r="E13" s="9">
        <f t="shared" si="0"/>
        <v>16.667999999999999</v>
      </c>
      <c r="F13" s="9">
        <f t="shared" si="1"/>
        <v>-33.332799999999999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150.32871</v>
      </c>
      <c r="E14" s="5">
        <f t="shared" si="0"/>
        <v>6.3671626429479034</v>
      </c>
      <c r="F14" s="5">
        <f t="shared" si="1"/>
        <v>-2210.6712900000002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14.641400000000001</v>
      </c>
      <c r="E15" s="5">
        <f t="shared" si="0"/>
        <v>1.3072678571428571</v>
      </c>
      <c r="F15" s="9">
        <f>SUM(D15-C15)</f>
        <v>-1105.3586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135.68731</v>
      </c>
      <c r="E16" s="5">
        <f t="shared" si="0"/>
        <v>10.933707493956486</v>
      </c>
      <c r="F16" s="9">
        <f t="shared" si="1"/>
        <v>-1105.31269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1.7</v>
      </c>
      <c r="E17" s="5">
        <f t="shared" si="0"/>
        <v>17</v>
      </c>
      <c r="F17" s="5">
        <f t="shared" si="1"/>
        <v>-8.3000000000000007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1.7</v>
      </c>
      <c r="E18" s="9">
        <f t="shared" si="0"/>
        <v>17</v>
      </c>
      <c r="F18" s="9">
        <f t="shared" si="1"/>
        <v>-8.3000000000000007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38.575029999999998</v>
      </c>
      <c r="E25" s="5">
        <f t="shared" si="0"/>
        <v>8.690027033115566</v>
      </c>
      <c r="F25" s="5">
        <f t="shared" si="1"/>
        <v>-405.32497000000001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12.500999999999999</v>
      </c>
      <c r="E26" s="5">
        <f t="shared" si="0"/>
        <v>5.1254612546125458</v>
      </c>
      <c r="F26" s="5">
        <f t="shared" si="1"/>
        <v>-231.399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0</v>
      </c>
      <c r="E28" s="9">
        <f t="shared" si="0"/>
        <v>0</v>
      </c>
      <c r="F28" s="9">
        <f t="shared" si="1"/>
        <v>-193.9</v>
      </c>
    </row>
    <row r="29" spans="1:6">
      <c r="A29" s="7">
        <v>1110503000</v>
      </c>
      <c r="B29" s="11" t="s">
        <v>220</v>
      </c>
      <c r="C29" s="12">
        <v>50</v>
      </c>
      <c r="D29" s="10">
        <v>12.500999999999999</v>
      </c>
      <c r="E29" s="9">
        <f>SUM(D29/C29*100)</f>
        <v>25.001999999999995</v>
      </c>
      <c r="F29" s="9">
        <f t="shared" si="1"/>
        <v>-37.499000000000002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26.27403</v>
      </c>
      <c r="E30" s="5">
        <f t="shared" si="0"/>
        <v>13.137015</v>
      </c>
      <c r="F30" s="5">
        <f t="shared" si="1"/>
        <v>-173.72596999999999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26.27403</v>
      </c>
      <c r="E31" s="9">
        <f>SUM(D31/C31*100)</f>
        <v>13.137015</v>
      </c>
      <c r="F31" s="9">
        <f t="shared" si="1"/>
        <v>-173.72596999999999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2.3295599999999999</v>
      </c>
      <c r="E35" s="9" t="e">
        <f t="shared" si="0"/>
        <v>#DIV/0!</v>
      </c>
      <c r="F35" s="9">
        <f t="shared" si="1"/>
        <v>2.3295599999999999</v>
      </c>
    </row>
    <row r="36" spans="1:7" ht="46.5" customHeight="1">
      <c r="A36" s="7">
        <v>1160701010</v>
      </c>
      <c r="B36" s="8" t="s">
        <v>403</v>
      </c>
      <c r="C36" s="9">
        <v>0</v>
      </c>
      <c r="D36" s="10">
        <v>2.3295599999999999</v>
      </c>
      <c r="E36" s="9" t="e">
        <f t="shared" si="0"/>
        <v>#DIV/0!</v>
      </c>
      <c r="F36" s="9">
        <f t="shared" si="1"/>
        <v>2.3295599999999999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43.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44.2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443.51536999999996</v>
      </c>
      <c r="E40" s="5">
        <f t="shared" si="0"/>
        <v>11.093264483274387</v>
      </c>
      <c r="F40" s="5">
        <f t="shared" si="1"/>
        <v>-3554.5446299999999</v>
      </c>
    </row>
    <row r="41" spans="1:7" s="6" customFormat="1" ht="20.25" customHeight="1">
      <c r="A41" s="3">
        <v>2000000000</v>
      </c>
      <c r="B41" s="4" t="s">
        <v>17</v>
      </c>
      <c r="C41" s="439">
        <f>C42+C43+C44+C46+C47+C45+C48</f>
        <v>12776.21543</v>
      </c>
      <c r="D41" s="439">
        <f>D42+D43+D44+D46+D47+D45+D48</f>
        <v>1019.6849</v>
      </c>
      <c r="E41" s="5">
        <f t="shared" si="0"/>
        <v>7.9811185525696784</v>
      </c>
      <c r="F41" s="5">
        <f t="shared" si="1"/>
        <v>-11756.53053</v>
      </c>
      <c r="G41" s="19"/>
    </row>
    <row r="42" spans="1:7" ht="19.5" customHeight="1">
      <c r="A42" s="16">
        <v>2021000000</v>
      </c>
      <c r="B42" s="17" t="s">
        <v>18</v>
      </c>
      <c r="C42" s="440">
        <v>3283.9</v>
      </c>
      <c r="D42" s="441">
        <v>820.96199999999999</v>
      </c>
      <c r="E42" s="9">
        <f t="shared" si="0"/>
        <v>24.999604129236577</v>
      </c>
      <c r="F42" s="9">
        <f t="shared" si="1"/>
        <v>-2462.9380000000001</v>
      </c>
    </row>
    <row r="43" spans="1:7" ht="27.7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f>2037.6+918.9</f>
        <v>2956.5</v>
      </c>
      <c r="D44" s="10">
        <v>153.923</v>
      </c>
      <c r="E44" s="9">
        <f t="shared" si="0"/>
        <v>5.2062573989514629</v>
      </c>
      <c r="F44" s="9">
        <f t="shared" si="1"/>
        <v>-2802.5770000000002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44.799900000000001</v>
      </c>
      <c r="E46" s="9">
        <f t="shared" si="0"/>
        <v>24.001703696163471</v>
      </c>
      <c r="F46" s="9">
        <f t="shared" si="1"/>
        <v>-141.85309999999998</v>
      </c>
    </row>
    <row r="47" spans="1:7" ht="14.25" customHeight="1">
      <c r="A47" s="16">
        <v>2020400000</v>
      </c>
      <c r="B47" s="17" t="s">
        <v>21</v>
      </c>
      <c r="C47" s="12">
        <v>6349.1624300000003</v>
      </c>
      <c r="D47" s="188">
        <v>0</v>
      </c>
      <c r="E47" s="9">
        <f t="shared" si="0"/>
        <v>0</v>
      </c>
      <c r="F47" s="9">
        <f t="shared" si="1"/>
        <v>-6349.1624300000003</v>
      </c>
    </row>
    <row r="48" spans="1:7" ht="16.5" customHeight="1">
      <c r="A48" s="7">
        <v>2070500010</v>
      </c>
      <c r="B48" s="17" t="s">
        <v>332</v>
      </c>
      <c r="C48" s="12">
        <v>0</v>
      </c>
      <c r="D48" s="188">
        <v>0</v>
      </c>
      <c r="E48" s="9" t="e">
        <f t="shared" si="0"/>
        <v>#DIV/0!</v>
      </c>
      <c r="F48" s="9">
        <f t="shared" si="1"/>
        <v>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SUM(C40,C41,C51)</f>
        <v>16774.275430000002</v>
      </c>
      <c r="D52" s="468">
        <f>D40+D41</f>
        <v>1463.2002699999998</v>
      </c>
      <c r="E52" s="5">
        <f t="shared" si="0"/>
        <v>8.7228821066281945</v>
      </c>
      <c r="F52" s="5">
        <f t="shared" si="1"/>
        <v>-15311.075160000002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-349.99106000000029</v>
      </c>
      <c r="D53" s="5">
        <f>D52-D101</f>
        <v>-253.1510500000004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402</v>
      </c>
      <c r="D55" s="147" t="s">
        <v>414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301.13576</v>
      </c>
      <c r="E57" s="34">
        <f>SUM(D57/C57*100)</f>
        <v>16.560087943366934</v>
      </c>
      <c r="F57" s="34">
        <f>SUM(D57-C57)</f>
        <v>-1517.3072400000001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301.13576</v>
      </c>
      <c r="E59" s="38">
        <f t="shared" ref="E59:E101" si="3">SUM(D59/C59*100)</f>
        <v>17.16264447737376</v>
      </c>
      <c r="F59" s="38">
        <f t="shared" ref="F59:F101" si="4">SUM(D59-C59)</f>
        <v>-1453.4642399999998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0</v>
      </c>
      <c r="E64" s="38">
        <f t="shared" si="3"/>
        <v>0</v>
      </c>
      <c r="F64" s="38">
        <f t="shared" si="4"/>
        <v>-5.843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35.58652</v>
      </c>
      <c r="E65" s="34">
        <f t="shared" si="3"/>
        <v>19.695555198884236</v>
      </c>
      <c r="F65" s="34">
        <f t="shared" si="4"/>
        <v>-145.09647999999999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35.58652</v>
      </c>
      <c r="E66" s="38">
        <f t="shared" si="3"/>
        <v>19.695555198884236</v>
      </c>
      <c r="F66" s="38">
        <f t="shared" si="4"/>
        <v>-145.09647999999999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8</v>
      </c>
      <c r="D67" s="22">
        <f>D70+D72+D71</f>
        <v>0</v>
      </c>
      <c r="E67" s="34">
        <f t="shared" si="3"/>
        <v>0</v>
      </c>
      <c r="F67" s="34">
        <f t="shared" si="4"/>
        <v>-8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4</v>
      </c>
      <c r="D72" s="92">
        <v>0</v>
      </c>
      <c r="E72" s="38">
        <f t="shared" si="3"/>
        <v>0</v>
      </c>
      <c r="F72" s="38">
        <f t="shared" si="4"/>
        <v>-4</v>
      </c>
    </row>
    <row r="73" spans="1:7" s="6" customFormat="1" ht="17.25" customHeight="1">
      <c r="A73" s="436" t="s">
        <v>55</v>
      </c>
      <c r="B73" s="31" t="s">
        <v>56</v>
      </c>
      <c r="C73" s="105">
        <f>C75+C76+C77+C74</f>
        <v>4829.5670600000003</v>
      </c>
      <c r="D73" s="105">
        <f>SUM(D74:D77)</f>
        <v>423.92175000000003</v>
      </c>
      <c r="E73" s="34">
        <f t="shared" si="3"/>
        <v>8.777634614726729</v>
      </c>
      <c r="F73" s="34">
        <f t="shared" si="4"/>
        <v>-4405.6453099999999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9.5" customHeight="1">
      <c r="A75" s="35" t="s">
        <v>59</v>
      </c>
      <c r="B75" s="39" t="s">
        <v>60</v>
      </c>
      <c r="C75" s="106">
        <v>659.6</v>
      </c>
      <c r="D75" s="92">
        <v>129.45375000000001</v>
      </c>
      <c r="E75" s="38">
        <f t="shared" si="3"/>
        <v>19.626099151000609</v>
      </c>
      <c r="F75" s="38">
        <f t="shared" si="4"/>
        <v>-530.14625000000001</v>
      </c>
      <c r="G75" s="50"/>
    </row>
    <row r="76" spans="1:7">
      <c r="A76" s="35" t="s">
        <v>61</v>
      </c>
      <c r="B76" s="39" t="s">
        <v>62</v>
      </c>
      <c r="C76" s="106">
        <v>4026.0510599999998</v>
      </c>
      <c r="D76" s="92">
        <v>294.46800000000002</v>
      </c>
      <c r="E76" s="38">
        <f t="shared" si="3"/>
        <v>7.3140652120790541</v>
      </c>
      <c r="F76" s="38">
        <f t="shared" si="4"/>
        <v>-3731.5830599999999</v>
      </c>
    </row>
    <row r="77" spans="1:7">
      <c r="A77" s="35" t="s">
        <v>63</v>
      </c>
      <c r="B77" s="39" t="s">
        <v>64</v>
      </c>
      <c r="C77" s="106">
        <v>129.6</v>
      </c>
      <c r="D77" s="92">
        <v>0</v>
      </c>
      <c r="E77" s="38">
        <f t="shared" si="3"/>
        <v>0</v>
      </c>
      <c r="F77" s="38">
        <f t="shared" si="4"/>
        <v>-129.6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7021.6624300000003</v>
      </c>
      <c r="D78" s="22">
        <f>SUM(D79:D82)</f>
        <v>111.38188</v>
      </c>
      <c r="E78" s="34">
        <f t="shared" si="3"/>
        <v>1.5862608194338954</v>
      </c>
      <c r="F78" s="34">
        <f t="shared" si="4"/>
        <v>-6910.2805500000004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92"/>
      <c r="D80" s="92"/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71</v>
      </c>
      <c r="B81" s="39" t="s">
        <v>72</v>
      </c>
      <c r="C81" s="92">
        <v>7021.6624300000003</v>
      </c>
      <c r="D81" s="92">
        <v>111.38188</v>
      </c>
      <c r="E81" s="38">
        <f t="shared" si="3"/>
        <v>1.5862608194338954</v>
      </c>
      <c r="F81" s="38">
        <f t="shared" si="4"/>
        <v>-6910.2805500000004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835.74041</v>
      </c>
      <c r="E83" s="34">
        <f t="shared" si="3"/>
        <v>25.766622784029597</v>
      </c>
      <c r="F83" s="34">
        <f t="shared" si="4"/>
        <v>-2407.7595900000001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835.74041</v>
      </c>
      <c r="E84" s="38">
        <f t="shared" si="3"/>
        <v>25.766622784029597</v>
      </c>
      <c r="F84" s="38">
        <f t="shared" si="4"/>
        <v>-2407.7595900000001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8.5850000000000009</v>
      </c>
      <c r="E91" s="34">
        <f t="shared" si="3"/>
        <v>38.307081343982865</v>
      </c>
      <c r="F91" s="22">
        <f>F92+F93+F94+F95+F96</f>
        <v>-13.826000000000001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8.5850000000000009</v>
      </c>
      <c r="E92" s="38">
        <f t="shared" si="3"/>
        <v>38.307081343982865</v>
      </c>
      <c r="F92" s="38">
        <f>SUM(D92-C92)</f>
        <v>-13.826000000000001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17124.266490000002</v>
      </c>
      <c r="D101" s="102">
        <f>D57+D65+D67+D73+D78+D83+D91+D86+D97</f>
        <v>1716.3513200000002</v>
      </c>
      <c r="E101" s="34">
        <f t="shared" si="3"/>
        <v>10.022918768534069</v>
      </c>
      <c r="F101" s="34">
        <f t="shared" si="4"/>
        <v>-15407.915170000002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 topLeftCell="A13">
      <selection activeCell="D101" sqref="D101"/>
      <pageMargins left="0.74803149606299213" right="0.74803149606299213" top="0.98425196850393704" bottom="0.98425196850393704" header="0.51181102362204722" footer="0.51181102362204722"/>
      <pageSetup paperSize="9" scale="59" orientation="portrait" r:id="rId1"/>
      <headerFooter alignWithMargins="0"/>
    </customSheetView>
    <customSheetView guid="{B30CE22D-C12F-4E12-8BB9-3AAE0A6991CC}" scale="70" showPageBreaks="1" fitToPage="1" printArea="1" hiddenRows="1" view="pageBreakPreview" topLeftCell="A48">
      <selection activeCell="C76" sqref="C76"/>
      <pageMargins left="0.74803149606299213" right="0.74803149606299213" top="0.98425196850393704" bottom="0.98425196850393704" header="0.51181102362204722" footer="0.51181102362204722"/>
      <pageSetup paperSize="9" scale="54" orientation="portrait" r:id="rId2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3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4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5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7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9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4"/>
  <sheetViews>
    <sheetView view="pageBreakPreview" topLeftCell="A15" zoomScale="70" zoomScaleNormal="100" zoomScaleSheetLayoutView="70" workbookViewId="0">
      <selection activeCell="C46" sqref="C46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416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273.60194000000001</v>
      </c>
      <c r="E4" s="5">
        <f>SUM(D4/C4*100)</f>
        <v>14.832669590532314</v>
      </c>
      <c r="F4" s="5">
        <f>SUM(D4-C4)</f>
        <v>-1570.9880600000001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16.251290000000001</v>
      </c>
      <c r="E5" s="5">
        <f t="shared" ref="E5:E53" si="0">SUM(D5/C5*100)</f>
        <v>22.665676429567643</v>
      </c>
      <c r="F5" s="5">
        <f t="shared" ref="F5:F53" si="1">SUM(D5-C5)</f>
        <v>-55.448710000000005</v>
      </c>
    </row>
    <row r="6" spans="1:6">
      <c r="A6" s="7">
        <v>1010200001</v>
      </c>
      <c r="B6" s="8" t="s">
        <v>224</v>
      </c>
      <c r="C6" s="9">
        <v>71.7</v>
      </c>
      <c r="D6" s="10">
        <v>16.251290000000001</v>
      </c>
      <c r="E6" s="9">
        <f t="shared" ref="E6:E11" si="2">SUM(D6/C6*100)</f>
        <v>22.665676429567643</v>
      </c>
      <c r="F6" s="9">
        <f t="shared" si="1"/>
        <v>-55.448710000000005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161.74251000000001</v>
      </c>
      <c r="E7" s="9">
        <f t="shared" si="2"/>
        <v>23.142770679219907</v>
      </c>
      <c r="F7" s="9">
        <f t="shared" si="1"/>
        <v>-537.14748999999995</v>
      </c>
    </row>
    <row r="8" spans="1:6">
      <c r="A8" s="7">
        <v>1030223001</v>
      </c>
      <c r="B8" s="8" t="s">
        <v>268</v>
      </c>
      <c r="C8" s="9">
        <v>260.69</v>
      </c>
      <c r="D8" s="10">
        <v>73.40204</v>
      </c>
      <c r="E8" s="9">
        <f t="shared" si="2"/>
        <v>28.156829951283136</v>
      </c>
      <c r="F8" s="9">
        <f t="shared" si="1"/>
        <v>-187.28796</v>
      </c>
    </row>
    <row r="9" spans="1:6">
      <c r="A9" s="7">
        <v>1030224001</v>
      </c>
      <c r="B9" s="8" t="s">
        <v>274</v>
      </c>
      <c r="C9" s="9">
        <v>2.79</v>
      </c>
      <c r="D9" s="10">
        <v>0.47850999999999999</v>
      </c>
      <c r="E9" s="9">
        <f t="shared" si="2"/>
        <v>17.150896057347669</v>
      </c>
      <c r="F9" s="9">
        <f t="shared" si="1"/>
        <v>-2.31149</v>
      </c>
    </row>
    <row r="10" spans="1:6">
      <c r="A10" s="7">
        <v>1030225001</v>
      </c>
      <c r="B10" s="8" t="s">
        <v>267</v>
      </c>
      <c r="C10" s="9">
        <v>435.41</v>
      </c>
      <c r="D10" s="10">
        <v>103.02366000000001</v>
      </c>
      <c r="E10" s="9">
        <f t="shared" si="2"/>
        <v>23.661298546197838</v>
      </c>
      <c r="F10" s="9">
        <f t="shared" si="1"/>
        <v>-332.38634000000002</v>
      </c>
    </row>
    <row r="11" spans="1:6">
      <c r="A11" s="7">
        <v>1030226001</v>
      </c>
      <c r="B11" s="8" t="s">
        <v>276</v>
      </c>
      <c r="C11" s="9">
        <v>0</v>
      </c>
      <c r="D11" s="10">
        <v>-15.1617</v>
      </c>
      <c r="E11" s="9" t="e">
        <f t="shared" si="2"/>
        <v>#DIV/0!</v>
      </c>
      <c r="F11" s="9">
        <f t="shared" si="1"/>
        <v>-15.1617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5">
        <f>D15+D16</f>
        <v>95.608139999999992</v>
      </c>
      <c r="E14" s="5">
        <f t="shared" si="0"/>
        <v>9.0196358490566038</v>
      </c>
      <c r="F14" s="5">
        <f t="shared" si="1"/>
        <v>-964.39185999999995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34.024850000000001</v>
      </c>
      <c r="E15" s="9">
        <f t="shared" si="0"/>
        <v>10.97575806451613</v>
      </c>
      <c r="F15" s="9">
        <f>SUM(D15-C15)</f>
        <v>-275.97514999999999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61.583289999999998</v>
      </c>
      <c r="E16" s="9">
        <f t="shared" si="0"/>
        <v>8.2111053333333341</v>
      </c>
      <c r="F16" s="9">
        <f t="shared" si="1"/>
        <v>-688.41670999999997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</v>
      </c>
      <c r="E17" s="5">
        <f t="shared" si="0"/>
        <v>0</v>
      </c>
      <c r="F17" s="5">
        <f t="shared" si="1"/>
        <v>-4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0</v>
      </c>
      <c r="E18" s="9">
        <f t="shared" si="0"/>
        <v>0</v>
      </c>
      <c r="F18" s="9">
        <f t="shared" si="1"/>
        <v>-4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117.83945</v>
      </c>
      <c r="E25" s="5">
        <f t="shared" si="0"/>
        <v>28.110555820610685</v>
      </c>
      <c r="F25" s="5">
        <f t="shared" si="1"/>
        <v>-301.36055000000005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103.42945</v>
      </c>
      <c r="E26" s="5">
        <f t="shared" si="0"/>
        <v>28.794390311804008</v>
      </c>
      <c r="F26" s="5">
        <f t="shared" si="1"/>
        <v>-255.77055000000004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84.739000000000004</v>
      </c>
      <c r="E28" s="9">
        <f t="shared" si="0"/>
        <v>25.787888009738285</v>
      </c>
      <c r="F28" s="9">
        <f t="shared" si="1"/>
        <v>-243.86100000000002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18.690449999999998</v>
      </c>
      <c r="E29" s="9">
        <f t="shared" si="0"/>
        <v>61.079901960784312</v>
      </c>
      <c r="F29" s="9">
        <f t="shared" si="1"/>
        <v>-11.909550000000003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1.44</v>
      </c>
      <c r="E30" s="5">
        <f t="shared" si="0"/>
        <v>2.4</v>
      </c>
      <c r="F30" s="5">
        <f t="shared" si="1"/>
        <v>-58.56</v>
      </c>
    </row>
    <row r="31" spans="1:6">
      <c r="A31" s="7">
        <v>1130206510</v>
      </c>
      <c r="B31" s="8" t="s">
        <v>14</v>
      </c>
      <c r="C31" s="9">
        <v>60</v>
      </c>
      <c r="D31" s="10">
        <v>1.44</v>
      </c>
      <c r="E31" s="9">
        <f t="shared" si="0"/>
        <v>2.4</v>
      </c>
      <c r="F31" s="9">
        <f t="shared" si="1"/>
        <v>-58.56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0</v>
      </c>
      <c r="E35" s="5" t="e">
        <f t="shared" si="0"/>
        <v>#DIV/0!</v>
      </c>
      <c r="F35" s="5">
        <f t="shared" si="1"/>
        <v>0</v>
      </c>
    </row>
    <row r="36" spans="1:7" ht="24.75" customHeight="1">
      <c r="A36" s="7">
        <v>1163305010</v>
      </c>
      <c r="B36" s="8" t="s">
        <v>401</v>
      </c>
      <c r="C36" s="9">
        <v>0</v>
      </c>
      <c r="D36" s="9">
        <v>0</v>
      </c>
      <c r="E36" s="9" t="e">
        <f>SUM(D36/C36*100)</f>
        <v>#DIV/0!</v>
      </c>
      <c r="F36" s="9">
        <f>SUM(D36-C36)</f>
        <v>0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12.97</v>
      </c>
      <c r="E38" s="9" t="e">
        <f t="shared" si="0"/>
        <v>#DIV/0!</v>
      </c>
      <c r="F38" s="5">
        <f t="shared" si="1"/>
        <v>12.97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3" customFormat="1" ht="15.75" customHeight="1">
      <c r="A40" s="270">
        <v>1170505005</v>
      </c>
      <c r="B40" s="271" t="s">
        <v>216</v>
      </c>
      <c r="C40" s="148">
        <v>0</v>
      </c>
      <c r="D40" s="437">
        <v>12.97</v>
      </c>
      <c r="E40" s="272" t="e">
        <f t="shared" si="0"/>
        <v>#DIV/0!</v>
      </c>
      <c r="F40" s="272">
        <f t="shared" si="1"/>
        <v>12.97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391.44139000000001</v>
      </c>
      <c r="E41" s="5">
        <f t="shared" si="0"/>
        <v>17.291417931875309</v>
      </c>
      <c r="F41" s="5">
        <f t="shared" si="1"/>
        <v>-1872.34861</v>
      </c>
    </row>
    <row r="42" spans="1:7" s="6" customFormat="1">
      <c r="A42" s="3">
        <v>2000000000</v>
      </c>
      <c r="B42" s="4" t="s">
        <v>17</v>
      </c>
      <c r="C42" s="469">
        <f>C43+C45+C47+C48+C49+C50+C44+C46+C52</f>
        <v>18122.40294</v>
      </c>
      <c r="D42" s="5">
        <f>D43+D45+D47+D48+D49+D50+D44+D46+D52</f>
        <v>625.39289999999994</v>
      </c>
      <c r="E42" s="5">
        <f t="shared" si="0"/>
        <v>3.4509380575554069</v>
      </c>
      <c r="F42" s="5">
        <f t="shared" si="1"/>
        <v>-17497.010040000001</v>
      </c>
      <c r="G42" s="19"/>
    </row>
    <row r="43" spans="1:7">
      <c r="A43" s="16">
        <v>2021000000</v>
      </c>
      <c r="B43" s="17" t="s">
        <v>18</v>
      </c>
      <c r="C43" s="438">
        <v>1706.8</v>
      </c>
      <c r="D43" s="20">
        <v>426.69299999999998</v>
      </c>
      <c r="E43" s="9">
        <f t="shared" si="0"/>
        <v>24.999589875790953</v>
      </c>
      <c r="F43" s="9">
        <f t="shared" si="1"/>
        <v>-1280.107</v>
      </c>
    </row>
    <row r="44" spans="1:7">
      <c r="A44" s="16">
        <v>2021500200</v>
      </c>
      <c r="B44" s="17" t="s">
        <v>227</v>
      </c>
      <c r="C44" s="12">
        <v>670.5</v>
      </c>
      <c r="D44" s="20">
        <v>0</v>
      </c>
      <c r="E44" s="9">
        <f t="shared" si="0"/>
        <v>0</v>
      </c>
      <c r="F44" s="9">
        <f t="shared" si="1"/>
        <v>-670.5</v>
      </c>
    </row>
    <row r="45" spans="1:7" ht="16.5" customHeight="1">
      <c r="A45" s="16">
        <v>2022000000</v>
      </c>
      <c r="B45" s="17" t="s">
        <v>19</v>
      </c>
      <c r="C45" s="12">
        <v>663.8</v>
      </c>
      <c r="D45" s="10">
        <v>0</v>
      </c>
      <c r="E45" s="9">
        <f t="shared" si="0"/>
        <v>0</v>
      </c>
      <c r="F45" s="9">
        <f t="shared" si="1"/>
        <v>-663.8</v>
      </c>
    </row>
    <row r="46" spans="1:7">
      <c r="A46" s="16">
        <v>2022999910</v>
      </c>
      <c r="B46" s="18" t="s">
        <v>331</v>
      </c>
      <c r="C46" s="12">
        <v>2768.4265500000001</v>
      </c>
      <c r="D46" s="10">
        <v>153.9</v>
      </c>
      <c r="E46" s="9">
        <f>SUM(D46/C46*100)</f>
        <v>5.5591144363212379</v>
      </c>
      <c r="F46" s="9">
        <f>SUM(D46-C46)</f>
        <v>-2614.52655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44.799900000000001</v>
      </c>
      <c r="E47" s="9">
        <f>SUM(D47/C47*100)</f>
        <v>24.632518295733838</v>
      </c>
      <c r="F47" s="9">
        <f>SUM(D47-C47)</f>
        <v>-137.07309999999998</v>
      </c>
    </row>
    <row r="48" spans="1:7">
      <c r="A48" s="16">
        <v>2020400000</v>
      </c>
      <c r="B48" s="17" t="s">
        <v>21</v>
      </c>
      <c r="C48" s="12">
        <v>11917.186110000001</v>
      </c>
      <c r="D48" s="188"/>
      <c r="E48" s="9">
        <f t="shared" si="0"/>
        <v>0</v>
      </c>
      <c r="F48" s="9">
        <f t="shared" si="1"/>
        <v>-11917.186110000001</v>
      </c>
    </row>
    <row r="49" spans="1:8" ht="47.25">
      <c r="A49" s="16">
        <v>2020700000</v>
      </c>
      <c r="B49" s="18" t="s">
        <v>22</v>
      </c>
      <c r="C49" s="12">
        <v>213.81728000000001</v>
      </c>
      <c r="D49" s="188"/>
      <c r="E49" s="9">
        <f t="shared" si="0"/>
        <v>0</v>
      </c>
      <c r="F49" s="9">
        <f t="shared" si="1"/>
        <v>-213.81728000000001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>
      <c r="A52" s="7">
        <v>2070500010</v>
      </c>
      <c r="B52" s="17" t="s">
        <v>338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8" s="6" customFormat="1" ht="23.25" customHeight="1">
      <c r="A53" s="3"/>
      <c r="B53" s="4" t="s">
        <v>25</v>
      </c>
      <c r="C53" s="5">
        <f>C41+C42</f>
        <v>20386.192940000001</v>
      </c>
      <c r="D53" s="460">
        <f>D41+D42</f>
        <v>1016.83429</v>
      </c>
      <c r="E53" s="5">
        <f t="shared" si="0"/>
        <v>4.9878576789335538</v>
      </c>
      <c r="F53" s="5">
        <f t="shared" si="1"/>
        <v>-19369.358650000002</v>
      </c>
      <c r="G53" s="94"/>
      <c r="H53" s="94"/>
    </row>
    <row r="54" spans="1:8" s="6" customFormat="1">
      <c r="A54" s="3"/>
      <c r="B54" s="21" t="s">
        <v>306</v>
      </c>
      <c r="C54" s="5">
        <f>C53-C102</f>
        <v>-458.51318999999785</v>
      </c>
      <c r="D54" s="5">
        <f>D53-D102</f>
        <v>-47.079240000000027</v>
      </c>
      <c r="E54" s="22"/>
      <c r="F54" s="22"/>
    </row>
    <row r="55" spans="1:8" ht="32.25" customHeight="1">
      <c r="A55" s="23"/>
      <c r="B55" s="24"/>
      <c r="C55" s="18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402</v>
      </c>
      <c r="D56" s="73" t="s">
        <v>413</v>
      </c>
      <c r="E56" s="72" t="s">
        <v>2</v>
      </c>
      <c r="F56" s="74" t="s">
        <v>3</v>
      </c>
    </row>
    <row r="57" spans="1:8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8" s="6" customFormat="1" ht="18" customHeight="1">
      <c r="A58" s="30" t="s">
        <v>27</v>
      </c>
      <c r="B58" s="31" t="s">
        <v>28</v>
      </c>
      <c r="C58" s="22">
        <f>C59+C60+C61+C62+C63+C65+C64</f>
        <v>1373.5740000000001</v>
      </c>
      <c r="D58" s="102">
        <f>D59+D60+D61+D62+D63+D65+D64</f>
        <v>296.45096999999998</v>
      </c>
      <c r="E58" s="34">
        <f>SUM(D58/C58*100)</f>
        <v>21.582453511787495</v>
      </c>
      <c r="F58" s="34">
        <f>SUM(D58-C58)</f>
        <v>-1077.1230300000002</v>
      </c>
    </row>
    <row r="59" spans="1:8" s="6" customFormat="1" ht="1.5" hidden="1" customHeight="1">
      <c r="A59" s="35" t="s">
        <v>29</v>
      </c>
      <c r="B59" s="36" t="s">
        <v>30</v>
      </c>
      <c r="C59" s="92">
        <v>0</v>
      </c>
      <c r="D59" s="92">
        <v>0</v>
      </c>
      <c r="E59" s="38" t="e">
        <f>SUM(D59/C59*100)</f>
        <v>#DIV/0!</v>
      </c>
      <c r="F59" s="38">
        <f>SUM(D59-C59)</f>
        <v>0</v>
      </c>
    </row>
    <row r="60" spans="1:8">
      <c r="A60" s="35" t="s">
        <v>31</v>
      </c>
      <c r="B60" s="39" t="s">
        <v>32</v>
      </c>
      <c r="C60" s="92">
        <v>1341.9</v>
      </c>
      <c r="D60" s="92">
        <v>296.45096999999998</v>
      </c>
      <c r="E60" s="38">
        <f t="shared" ref="E60:E102" si="3">SUM(D60/C60*100)</f>
        <v>22.091882405544375</v>
      </c>
      <c r="F60" s="38">
        <f t="shared" ref="F60:F102" si="4">SUM(D60-C60)</f>
        <v>-1045.4490300000002</v>
      </c>
    </row>
    <row r="61" spans="1:8" ht="16.5" hidden="1" customHeight="1">
      <c r="A61" s="35" t="s">
        <v>33</v>
      </c>
      <c r="B61" s="39" t="s">
        <v>34</v>
      </c>
      <c r="C61" s="92"/>
      <c r="D61" s="92"/>
      <c r="E61" s="38"/>
      <c r="F61" s="38">
        <f t="shared" si="4"/>
        <v>0</v>
      </c>
    </row>
    <row r="62" spans="1:8" ht="31.5" hidden="1" customHeight="1">
      <c r="A62" s="35" t="s">
        <v>35</v>
      </c>
      <c r="B62" s="39" t="s">
        <v>36</v>
      </c>
      <c r="C62" s="92"/>
      <c r="D62" s="92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2">
        <v>23</v>
      </c>
      <c r="D63" s="92">
        <v>0</v>
      </c>
      <c r="E63" s="38">
        <f t="shared" si="3"/>
        <v>0</v>
      </c>
      <c r="F63" s="38">
        <f t="shared" si="4"/>
        <v>-23</v>
      </c>
    </row>
    <row r="64" spans="1:8" ht="15.75" customHeight="1">
      <c r="A64" s="35" t="s">
        <v>39</v>
      </c>
      <c r="B64" s="39" t="s">
        <v>40</v>
      </c>
      <c r="C64" s="104">
        <v>5</v>
      </c>
      <c r="D64" s="104">
        <v>0</v>
      </c>
      <c r="E64" s="38">
        <f t="shared" si="3"/>
        <v>0</v>
      </c>
      <c r="F64" s="38">
        <f t="shared" si="4"/>
        <v>-5</v>
      </c>
    </row>
    <row r="65" spans="1:7" ht="14.25" customHeight="1">
      <c r="A65" s="35" t="s">
        <v>41</v>
      </c>
      <c r="B65" s="39" t="s">
        <v>42</v>
      </c>
      <c r="C65" s="92">
        <v>3.6739999999999999</v>
      </c>
      <c r="D65" s="92">
        <v>0</v>
      </c>
      <c r="E65" s="38">
        <f t="shared" si="3"/>
        <v>0</v>
      </c>
      <c r="F65" s="38">
        <f t="shared" si="4"/>
        <v>-3.6739999999999999</v>
      </c>
    </row>
    <row r="66" spans="1:7" s="6" customFormat="1">
      <c r="A66" s="41" t="s">
        <v>43</v>
      </c>
      <c r="B66" s="42" t="s">
        <v>44</v>
      </c>
      <c r="C66" s="22">
        <f>C67</f>
        <v>180.68299999999999</v>
      </c>
      <c r="D66" s="22">
        <f>D67</f>
        <v>35.58652</v>
      </c>
      <c r="E66" s="34">
        <f t="shared" si="3"/>
        <v>19.695555198884236</v>
      </c>
      <c r="F66" s="34">
        <f t="shared" si="4"/>
        <v>-145.09647999999999</v>
      </c>
    </row>
    <row r="67" spans="1:7" ht="15" customHeight="1">
      <c r="A67" s="43" t="s">
        <v>45</v>
      </c>
      <c r="B67" s="44" t="s">
        <v>46</v>
      </c>
      <c r="C67" s="92">
        <v>180.68299999999999</v>
      </c>
      <c r="D67" s="92">
        <v>35.58652</v>
      </c>
      <c r="E67" s="38">
        <f t="shared" si="3"/>
        <v>19.695555198884236</v>
      </c>
      <c r="F67" s="38">
        <f t="shared" si="4"/>
        <v>-145.09647999999999</v>
      </c>
    </row>
    <row r="68" spans="1:7" s="6" customFormat="1" ht="18" customHeight="1">
      <c r="A68" s="30" t="s">
        <v>47</v>
      </c>
      <c r="B68" s="31" t="s">
        <v>48</v>
      </c>
      <c r="C68" s="22">
        <f>C71+C72+C73</f>
        <v>6</v>
      </c>
      <c r="D68" s="22">
        <f>D71+D72+D73</f>
        <v>0</v>
      </c>
      <c r="E68" s="34">
        <f t="shared" si="3"/>
        <v>0</v>
      </c>
      <c r="F68" s="34">
        <f t="shared" si="4"/>
        <v>-6</v>
      </c>
    </row>
    <row r="69" spans="1:7" ht="0.75" hidden="1" customHeight="1">
      <c r="A69" s="35" t="s">
        <v>49</v>
      </c>
      <c r="B69" s="39" t="s">
        <v>50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8" hidden="1" customHeight="1">
      <c r="A70" s="45" t="s">
        <v>51</v>
      </c>
      <c r="B70" s="39" t="s">
        <v>52</v>
      </c>
      <c r="C70" s="92"/>
      <c r="D70" s="92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2">
        <v>2</v>
      </c>
      <c r="D71" s="92">
        <v>0</v>
      </c>
      <c r="E71" s="34">
        <f t="shared" si="3"/>
        <v>0</v>
      </c>
      <c r="F71" s="34">
        <f t="shared" si="4"/>
        <v>-2</v>
      </c>
    </row>
    <row r="72" spans="1:7" ht="17.25" customHeight="1">
      <c r="A72" s="46" t="s">
        <v>214</v>
      </c>
      <c r="B72" s="47" t="s">
        <v>215</v>
      </c>
      <c r="C72" s="92">
        <v>2</v>
      </c>
      <c r="D72" s="92">
        <v>0</v>
      </c>
      <c r="E72" s="38">
        <f t="shared" si="3"/>
        <v>0</v>
      </c>
      <c r="F72" s="38">
        <f t="shared" si="4"/>
        <v>-2</v>
      </c>
    </row>
    <row r="73" spans="1:7" ht="17.25" customHeight="1">
      <c r="A73" s="46" t="s">
        <v>339</v>
      </c>
      <c r="B73" s="47" t="s">
        <v>390</v>
      </c>
      <c r="C73" s="92">
        <v>2</v>
      </c>
      <c r="D73" s="92">
        <v>0</v>
      </c>
      <c r="E73" s="38">
        <f>SUM(D73/C73*100)</f>
        <v>0</v>
      </c>
      <c r="F73" s="38">
        <f>SUM(D73-C73)</f>
        <v>-2</v>
      </c>
    </row>
    <row r="74" spans="1:7" s="6" customFormat="1" ht="19.5" customHeight="1">
      <c r="A74" s="30" t="s">
        <v>55</v>
      </c>
      <c r="B74" s="31" t="s">
        <v>56</v>
      </c>
      <c r="C74" s="105">
        <f>C76+C77+C78+C75</f>
        <v>4073.77702</v>
      </c>
      <c r="D74" s="105">
        <f>SUM(D75:D78)</f>
        <v>229.19499999999999</v>
      </c>
      <c r="E74" s="34">
        <f t="shared" si="3"/>
        <v>5.6261056723227325</v>
      </c>
      <c r="F74" s="34">
        <f t="shared" si="4"/>
        <v>-3844.5820199999998</v>
      </c>
    </row>
    <row r="75" spans="1:7" ht="17.25" customHeight="1">
      <c r="A75" s="35" t="s">
        <v>57</v>
      </c>
      <c r="B75" s="39" t="s">
        <v>58</v>
      </c>
      <c r="C75" s="106">
        <v>2.863</v>
      </c>
      <c r="D75" s="92">
        <v>0</v>
      </c>
      <c r="E75" s="38">
        <f t="shared" si="3"/>
        <v>0</v>
      </c>
      <c r="F75" s="38">
        <f t="shared" si="4"/>
        <v>-2.863</v>
      </c>
    </row>
    <row r="76" spans="1:7" s="6" customFormat="1" ht="17.25" customHeight="1">
      <c r="A76" s="35" t="s">
        <v>59</v>
      </c>
      <c r="B76" s="39" t="s">
        <v>60</v>
      </c>
      <c r="C76" s="106">
        <v>144</v>
      </c>
      <c r="D76" s="92">
        <v>42</v>
      </c>
      <c r="E76" s="38">
        <f t="shared" si="3"/>
        <v>29.166666666666668</v>
      </c>
      <c r="F76" s="38">
        <f t="shared" si="4"/>
        <v>-102</v>
      </c>
      <c r="G76" s="50"/>
    </row>
    <row r="77" spans="1:7" ht="16.5" customHeight="1">
      <c r="A77" s="35" t="s">
        <v>61</v>
      </c>
      <c r="B77" s="39" t="s">
        <v>62</v>
      </c>
      <c r="C77" s="106">
        <v>2175.72147</v>
      </c>
      <c r="D77" s="92">
        <v>170.94499999999999</v>
      </c>
      <c r="E77" s="38">
        <f t="shared" si="3"/>
        <v>7.856934003597436</v>
      </c>
      <c r="F77" s="38">
        <f t="shared" si="4"/>
        <v>-2004.77647</v>
      </c>
    </row>
    <row r="78" spans="1:7" ht="16.5" customHeight="1">
      <c r="A78" s="35" t="s">
        <v>63</v>
      </c>
      <c r="B78" s="39" t="s">
        <v>64</v>
      </c>
      <c r="C78" s="106">
        <v>1751.19255</v>
      </c>
      <c r="D78" s="92">
        <v>16.25</v>
      </c>
      <c r="E78" s="38">
        <f t="shared" si="3"/>
        <v>0.92793907785868546</v>
      </c>
      <c r="F78" s="38">
        <f t="shared" si="4"/>
        <v>-1734.94255</v>
      </c>
    </row>
    <row r="79" spans="1:7" ht="15.75" hidden="1" customHeight="1">
      <c r="A79" s="30" t="s">
        <v>47</v>
      </c>
      <c r="B79" s="31" t="s">
        <v>48</v>
      </c>
      <c r="C79" s="105">
        <v>0</v>
      </c>
      <c r="D79" s="92"/>
      <c r="E79" s="38"/>
      <c r="F79" s="38"/>
    </row>
    <row r="80" spans="1:7" ht="15.75" hidden="1" customHeight="1">
      <c r="A80" s="46" t="s">
        <v>214</v>
      </c>
      <c r="B80" s="47" t="s">
        <v>215</v>
      </c>
      <c r="C80" s="106">
        <v>0</v>
      </c>
      <c r="D80" s="92"/>
      <c r="E80" s="38"/>
      <c r="F80" s="38"/>
    </row>
    <row r="81" spans="1:6" s="6" customFormat="1" ht="19.5" customHeight="1">
      <c r="A81" s="30" t="s">
        <v>65</v>
      </c>
      <c r="B81" s="31" t="s">
        <v>66</v>
      </c>
      <c r="C81" s="22">
        <f>SUM(C82:C84)</f>
        <v>4175.9804000000004</v>
      </c>
      <c r="D81" s="22">
        <f>SUM(D82:D84)</f>
        <v>77.107420000000005</v>
      </c>
      <c r="E81" s="34">
        <f t="shared" si="3"/>
        <v>1.8464507161001045</v>
      </c>
      <c r="F81" s="34">
        <f t="shared" si="4"/>
        <v>-4098.8729800000001</v>
      </c>
    </row>
    <row r="82" spans="1:6" hidden="1">
      <c r="A82" s="35" t="s">
        <v>67</v>
      </c>
      <c r="B82" s="51" t="s">
        <v>68</v>
      </c>
      <c r="C82" s="92"/>
      <c r="D82" s="92"/>
      <c r="E82" s="38" t="e">
        <f t="shared" si="3"/>
        <v>#DIV/0!</v>
      </c>
      <c r="F82" s="38">
        <f t="shared" si="4"/>
        <v>0</v>
      </c>
    </row>
    <row r="83" spans="1:6">
      <c r="A83" s="35" t="s">
        <v>69</v>
      </c>
      <c r="B83" s="51" t="s">
        <v>70</v>
      </c>
      <c r="C83" s="92">
        <v>0</v>
      </c>
      <c r="D83" s="92">
        <v>0</v>
      </c>
      <c r="E83" s="38" t="e">
        <f t="shared" si="3"/>
        <v>#DIV/0!</v>
      </c>
      <c r="F83" s="38">
        <f t="shared" si="4"/>
        <v>0</v>
      </c>
    </row>
    <row r="84" spans="1:6" ht="18" customHeight="1">
      <c r="A84" s="35" t="s">
        <v>71</v>
      </c>
      <c r="B84" s="39" t="s">
        <v>72</v>
      </c>
      <c r="C84" s="92">
        <v>4175.9804000000004</v>
      </c>
      <c r="D84" s="92">
        <v>77.107420000000005</v>
      </c>
      <c r="E84" s="38">
        <f t="shared" si="3"/>
        <v>1.8464507161001045</v>
      </c>
      <c r="F84" s="38">
        <f t="shared" si="4"/>
        <v>-4098.8729800000001</v>
      </c>
    </row>
    <row r="85" spans="1:6" s="6" customFormat="1" ht="16.5" customHeight="1">
      <c r="A85" s="30" t="s">
        <v>83</v>
      </c>
      <c r="B85" s="31" t="s">
        <v>84</v>
      </c>
      <c r="C85" s="22">
        <f>C86</f>
        <v>11032.691709999999</v>
      </c>
      <c r="D85" s="22">
        <f>SUM(D86)</f>
        <v>425.57362000000001</v>
      </c>
      <c r="E85" s="34">
        <f t="shared" si="3"/>
        <v>3.8573870383259359</v>
      </c>
      <c r="F85" s="34">
        <f t="shared" si="4"/>
        <v>-10607.11809</v>
      </c>
    </row>
    <row r="86" spans="1:6" ht="14.25" customHeight="1">
      <c r="A86" s="35" t="s">
        <v>85</v>
      </c>
      <c r="B86" s="39" t="s">
        <v>229</v>
      </c>
      <c r="C86" s="92">
        <v>11032.691709999999</v>
      </c>
      <c r="D86" s="92">
        <v>425.57362000000001</v>
      </c>
      <c r="E86" s="38">
        <f t="shared" si="3"/>
        <v>3.8573870383259359</v>
      </c>
      <c r="F86" s="38">
        <f t="shared" si="4"/>
        <v>-10607.11809</v>
      </c>
    </row>
    <row r="87" spans="1:6" s="6" customFormat="1" ht="12" hidden="1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t="9" hidden="1" customHeight="1">
      <c r="A88" s="53">
        <v>1001</v>
      </c>
      <c r="B88" s="54" t="s">
        <v>87</v>
      </c>
      <c r="C88" s="92"/>
      <c r="D88" s="92"/>
      <c r="E88" s="38" t="e">
        <f t="shared" si="3"/>
        <v>#DIV/0!</v>
      </c>
      <c r="F88" s="38">
        <f t="shared" si="4"/>
        <v>0</v>
      </c>
    </row>
    <row r="89" spans="1:6" ht="12" hidden="1" customHeight="1">
      <c r="A89" s="53">
        <v>1003</v>
      </c>
      <c r="B89" s="54" t="s">
        <v>88</v>
      </c>
      <c r="C89" s="92">
        <v>0</v>
      </c>
      <c r="D89" s="92">
        <v>0</v>
      </c>
      <c r="E89" s="38" t="e">
        <f t="shared" si="3"/>
        <v>#DIV/0!</v>
      </c>
      <c r="F89" s="38">
        <f t="shared" si="4"/>
        <v>0</v>
      </c>
    </row>
    <row r="90" spans="1:6" ht="12.75" hidden="1" customHeight="1">
      <c r="A90" s="53">
        <v>1004</v>
      </c>
      <c r="B90" s="54" t="s">
        <v>89</v>
      </c>
      <c r="C90" s="92">
        <v>0</v>
      </c>
      <c r="D90" s="190">
        <v>0</v>
      </c>
      <c r="E90" s="38" t="e">
        <f t="shared" si="3"/>
        <v>#DIV/0!</v>
      </c>
      <c r="F90" s="38">
        <f t="shared" si="4"/>
        <v>0</v>
      </c>
    </row>
    <row r="91" spans="1:6" ht="19.5" hidden="1" customHeight="1">
      <c r="A91" s="35" t="s">
        <v>90</v>
      </c>
      <c r="B91" s="39" t="s">
        <v>91</v>
      </c>
      <c r="C91" s="92">
        <v>0</v>
      </c>
      <c r="D91" s="92">
        <v>0</v>
      </c>
      <c r="E91" s="38"/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2</v>
      </c>
      <c r="D92" s="22">
        <f>D93+D94+D95+D96+D97</f>
        <v>0</v>
      </c>
      <c r="E92" s="38">
        <f t="shared" si="3"/>
        <v>0</v>
      </c>
      <c r="F92" s="22">
        <f>F93+F94+F95+F96+F97</f>
        <v>-2</v>
      </c>
    </row>
    <row r="93" spans="1:6" ht="19.5" customHeight="1">
      <c r="A93" s="35" t="s">
        <v>94</v>
      </c>
      <c r="B93" s="39" t="s">
        <v>95</v>
      </c>
      <c r="C93" s="92">
        <v>2</v>
      </c>
      <c r="D93" s="92">
        <v>0</v>
      </c>
      <c r="E93" s="38">
        <f t="shared" si="3"/>
        <v>0</v>
      </c>
      <c r="F93" s="38">
        <f>SUM(D93-C93)</f>
        <v>-2</v>
      </c>
    </row>
    <row r="94" spans="1:6" ht="15" hidden="1" customHeight="1">
      <c r="A94" s="35" t="s">
        <v>96</v>
      </c>
      <c r="B94" s="39" t="s">
        <v>97</v>
      </c>
      <c r="C94" s="92"/>
      <c r="D94" s="92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92"/>
      <c r="D95" s="92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92"/>
      <c r="D96" s="92"/>
      <c r="E96" s="38" t="e">
        <f t="shared" si="3"/>
        <v>#DIV/0!</v>
      </c>
      <c r="F96" s="38"/>
    </row>
    <row r="97" spans="1:6" ht="57.75" hidden="1" customHeight="1">
      <c r="A97" s="35" t="s">
        <v>102</v>
      </c>
      <c r="B97" s="39" t="s">
        <v>103</v>
      </c>
      <c r="C97" s="92"/>
      <c r="D97" s="92"/>
      <c r="E97" s="38" t="e">
        <f t="shared" si="3"/>
        <v>#DIV/0!</v>
      </c>
      <c r="F97" s="38"/>
    </row>
    <row r="98" spans="1:6" s="6" customFormat="1" ht="15" hidden="1" customHeight="1">
      <c r="A98" s="52">
        <v>1400</v>
      </c>
      <c r="B98" s="56" t="s">
        <v>112</v>
      </c>
      <c r="C98" s="105">
        <f>C99+C100+C101</f>
        <v>0</v>
      </c>
      <c r="D98" s="105">
        <f>SUM(D99:D101)</f>
        <v>0</v>
      </c>
      <c r="E98" s="34" t="e">
        <f t="shared" si="3"/>
        <v>#DIV/0!</v>
      </c>
      <c r="F98" s="34">
        <f t="shared" si="4"/>
        <v>0</v>
      </c>
    </row>
    <row r="99" spans="1:6" ht="16.5" hidden="1" customHeight="1">
      <c r="A99" s="53">
        <v>1401</v>
      </c>
      <c r="B99" s="54" t="s">
        <v>113</v>
      </c>
      <c r="C99" s="92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20.25" hidden="1" customHeight="1">
      <c r="A100" s="53">
        <v>1402</v>
      </c>
      <c r="B100" s="54" t="s">
        <v>114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ht="13.5" hidden="1" customHeight="1">
      <c r="A101" s="53">
        <v>1403</v>
      </c>
      <c r="B101" s="54" t="s">
        <v>115</v>
      </c>
      <c r="C101" s="106">
        <v>0</v>
      </c>
      <c r="D101" s="92">
        <v>0</v>
      </c>
      <c r="E101" s="38" t="e">
        <f t="shared" si="3"/>
        <v>#DIV/0!</v>
      </c>
      <c r="F101" s="38">
        <f t="shared" si="4"/>
        <v>0</v>
      </c>
    </row>
    <row r="102" spans="1:6" s="6" customFormat="1">
      <c r="A102" s="52"/>
      <c r="B102" s="57" t="s">
        <v>116</v>
      </c>
      <c r="C102" s="102">
        <f>C58+C66+C68+C74+C81+C85+C87+C92+C79</f>
        <v>20844.706129999999</v>
      </c>
      <c r="D102" s="102">
        <f>D58+D66+D68+D74+D81+D85+D92+D87</f>
        <v>1063.91353</v>
      </c>
      <c r="E102" s="34">
        <f t="shared" si="3"/>
        <v>5.1039987005084253</v>
      </c>
      <c r="F102" s="34">
        <f t="shared" si="4"/>
        <v>-19780.792599999997</v>
      </c>
    </row>
    <row r="103" spans="1:6" ht="5.25" customHeight="1">
      <c r="C103" s="120"/>
      <c r="D103" s="61"/>
    </row>
    <row r="104" spans="1:6" s="65" customFormat="1" ht="12.75">
      <c r="A104" s="63" t="s">
        <v>117</v>
      </c>
      <c r="B104" s="63"/>
      <c r="C104" s="116"/>
      <c r="D104" s="64"/>
    </row>
    <row r="105" spans="1:6" s="65" customFormat="1" ht="12.75">
      <c r="A105" s="66" t="s">
        <v>118</v>
      </c>
      <c r="B105" s="66"/>
      <c r="C105" s="65" t="s">
        <v>119</v>
      </c>
    </row>
    <row r="106" spans="1:6">
      <c r="C106" s="120"/>
    </row>
    <row r="144" hidden="1"/>
  </sheetData>
  <customSheetViews>
    <customSheetView guid="{61528DAC-5C4C-48F4-ADE2-8A724B05A086}" scale="70" showPageBreaks="1" fitToPage="1" printArea="1" hiddenRows="1" view="pageBreakPreview" topLeftCell="A15">
      <selection activeCell="C46" sqref="C46"/>
      <pageMargins left="0.70866141732283472" right="0.70866141732283472" top="0.74803149606299213" bottom="0.74803149606299213" header="0.31496062992125984" footer="0.31496062992125984"/>
      <pageSetup paperSize="9" scale="49" orientation="portrait" r:id="rId1"/>
    </customSheetView>
    <customSheetView guid="{B30CE22D-C12F-4E12-8BB9-3AAE0A6991CC}" scale="70" showPageBreaks="1" fitToPage="1" printArea="1" hiddenRows="1" view="pageBreakPreview" topLeftCell="A48">
      <selection activeCell="D77" sqref="D77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3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49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36" zoomScale="70" zoomScaleNormal="100" zoomScaleSheetLayoutView="70" workbookViewId="0">
      <selection activeCell="D71" sqref="D71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23" t="s">
        <v>417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796.36906999999997</v>
      </c>
      <c r="E4" s="5">
        <f>SUM(D4/C4*100)</f>
        <v>17.608801556926164</v>
      </c>
      <c r="F4" s="5">
        <f>SUM(D4-C4)</f>
        <v>-3726.1935100000001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84.931830000000005</v>
      </c>
      <c r="E5" s="5">
        <f t="shared" ref="E5:E50" si="0">SUM(D5/C5*100)</f>
        <v>17.540650557620818</v>
      </c>
      <c r="F5" s="5">
        <f t="shared" ref="F5:F50" si="1">SUM(D5-C5)</f>
        <v>-399.26817</v>
      </c>
    </row>
    <row r="6" spans="1:6">
      <c r="A6" s="7">
        <v>1010200001</v>
      </c>
      <c r="B6" s="8" t="s">
        <v>224</v>
      </c>
      <c r="C6" s="221">
        <v>484.2</v>
      </c>
      <c r="D6" s="222">
        <v>84.931830000000005</v>
      </c>
      <c r="E6" s="9">
        <f t="shared" ref="E6:E11" si="2">SUM(D6/C6*100)</f>
        <v>17.540650557620818</v>
      </c>
      <c r="F6" s="9">
        <f t="shared" si="1"/>
        <v>-399.26817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192.91467</v>
      </c>
      <c r="E7" s="5">
        <f t="shared" si="2"/>
        <v>23.142632469199487</v>
      </c>
      <c r="F7" s="5">
        <f t="shared" si="1"/>
        <v>-640.67533000000003</v>
      </c>
    </row>
    <row r="8" spans="1:6">
      <c r="A8" s="7">
        <v>1030223001</v>
      </c>
      <c r="B8" s="8" t="s">
        <v>268</v>
      </c>
      <c r="C8" s="221">
        <v>310.93</v>
      </c>
      <c r="D8" s="222">
        <v>87.548590000000004</v>
      </c>
      <c r="E8" s="9">
        <f t="shared" si="2"/>
        <v>28.157009616312358</v>
      </c>
      <c r="F8" s="9">
        <f t="shared" si="1"/>
        <v>-223.38141000000002</v>
      </c>
    </row>
    <row r="9" spans="1:6">
      <c r="A9" s="7">
        <v>1030224001</v>
      </c>
      <c r="B9" s="8" t="s">
        <v>274</v>
      </c>
      <c r="C9" s="221">
        <v>3.33</v>
      </c>
      <c r="D9" s="222">
        <v>0.57072999999999996</v>
      </c>
      <c r="E9" s="9">
        <f t="shared" si="2"/>
        <v>17.139039039039037</v>
      </c>
      <c r="F9" s="9">
        <f t="shared" si="1"/>
        <v>-2.7592699999999999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122.87912</v>
      </c>
      <c r="E10" s="9">
        <f t="shared" si="2"/>
        <v>23.661086399784338</v>
      </c>
      <c r="F10" s="9">
        <f t="shared" si="1"/>
        <v>-396.45088000000004</v>
      </c>
    </row>
    <row r="11" spans="1:6">
      <c r="A11" s="7">
        <v>1030226001</v>
      </c>
      <c r="B11" s="8" t="s">
        <v>275</v>
      </c>
      <c r="C11" s="221">
        <v>0</v>
      </c>
      <c r="D11" s="220">
        <v>-18.083770000000001</v>
      </c>
      <c r="E11" s="9" t="e">
        <f t="shared" si="2"/>
        <v>#DIV/0!</v>
      </c>
      <c r="F11" s="9">
        <f t="shared" si="1"/>
        <v>-18.083770000000001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12.3927</v>
      </c>
      <c r="E12" s="5">
        <f t="shared" si="0"/>
        <v>20.654500000000002</v>
      </c>
      <c r="F12" s="5">
        <f t="shared" si="1"/>
        <v>-47.607300000000002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12.3927</v>
      </c>
      <c r="E13" s="9">
        <f t="shared" si="0"/>
        <v>20.654500000000002</v>
      </c>
      <c r="F13" s="9">
        <f t="shared" si="1"/>
        <v>-47.607300000000002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503.32987000000003</v>
      </c>
      <c r="E14" s="5">
        <f t="shared" si="0"/>
        <v>16.107728070245678</v>
      </c>
      <c r="F14" s="5">
        <f t="shared" si="1"/>
        <v>-2621.4427099999998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18.861940000000001</v>
      </c>
      <c r="E15" s="9">
        <f t="shared" si="0"/>
        <v>5.5476294117647065</v>
      </c>
      <c r="F15" s="9">
        <f>SUM(D15-C15)</f>
        <v>-321.13806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484.46793000000002</v>
      </c>
      <c r="E16" s="9">
        <f t="shared" si="0"/>
        <v>17.397037498839492</v>
      </c>
      <c r="F16" s="9">
        <f t="shared" si="1"/>
        <v>-2300.30465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2.8</v>
      </c>
      <c r="E17" s="5">
        <f t="shared" si="0"/>
        <v>13.999999999999998</v>
      </c>
      <c r="F17" s="5">
        <f t="shared" si="1"/>
        <v>-17.2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2.8</v>
      </c>
      <c r="E18" s="9">
        <f t="shared" si="0"/>
        <v>13.999999999999998</v>
      </c>
      <c r="F18" s="9">
        <f t="shared" si="1"/>
        <v>-17.2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197.5</v>
      </c>
      <c r="D25" s="93">
        <f>D26+D29+D31+D36+D34</f>
        <v>83.481020000000001</v>
      </c>
      <c r="E25" s="5">
        <f t="shared" si="0"/>
        <v>42.268870886075952</v>
      </c>
      <c r="F25" s="5">
        <f t="shared" si="1"/>
        <v>-114.01898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127.5</v>
      </c>
      <c r="D26" s="93">
        <f>D27+D28</f>
        <v>65.653999999999996</v>
      </c>
      <c r="E26" s="5">
        <f t="shared" si="0"/>
        <v>51.493333333333332</v>
      </c>
      <c r="F26" s="5">
        <f t="shared" si="1"/>
        <v>-61.846000000000004</v>
      </c>
    </row>
    <row r="27" spans="1:6" ht="15" customHeight="1">
      <c r="A27" s="16">
        <v>1110502510</v>
      </c>
      <c r="B27" s="17" t="s">
        <v>221</v>
      </c>
      <c r="C27" s="223">
        <v>115.5</v>
      </c>
      <c r="D27" s="220">
        <v>62.654000000000003</v>
      </c>
      <c r="E27" s="9">
        <f t="shared" si="0"/>
        <v>54.245887445887455</v>
      </c>
      <c r="F27" s="9">
        <f t="shared" si="1"/>
        <v>-52.845999999999997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3</v>
      </c>
      <c r="E28" s="9">
        <f t="shared" si="0"/>
        <v>25</v>
      </c>
      <c r="F28" s="9">
        <f t="shared" si="1"/>
        <v>-9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17.827020000000001</v>
      </c>
      <c r="E29" s="5">
        <f t="shared" si="0"/>
        <v>25.467171428571429</v>
      </c>
      <c r="F29" s="5">
        <f t="shared" si="1"/>
        <v>-52.172979999999995</v>
      </c>
    </row>
    <row r="30" spans="1:6" ht="17.25" customHeight="1">
      <c r="A30" s="7">
        <v>1130206005</v>
      </c>
      <c r="B30" s="8" t="s">
        <v>219</v>
      </c>
      <c r="C30" s="9">
        <v>70</v>
      </c>
      <c r="D30" s="10">
        <v>17.827020000000001</v>
      </c>
      <c r="E30" s="9">
        <f t="shared" si="0"/>
        <v>25.467171428571429</v>
      </c>
      <c r="F30" s="9">
        <f t="shared" si="1"/>
        <v>-52.172979999999995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4720.0625799999998</v>
      </c>
      <c r="D39" s="225">
        <f>D4+D25</f>
        <v>879.85008999999991</v>
      </c>
      <c r="E39" s="5">
        <f t="shared" si="0"/>
        <v>18.640644590775743</v>
      </c>
      <c r="F39" s="5">
        <f t="shared" si="1"/>
        <v>-3840.2124899999999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3746.7429999999995</v>
      </c>
      <c r="D40" s="194">
        <f>D41+D43+D45+D46+D47+D48+D42+D44</f>
        <v>559.06489999999997</v>
      </c>
      <c r="E40" s="5">
        <f t="shared" si="0"/>
        <v>14.921357029291842</v>
      </c>
      <c r="F40" s="5">
        <f t="shared" si="1"/>
        <v>-3187.6780999999996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299.14499999999998</v>
      </c>
      <c r="E41" s="9">
        <f t="shared" si="0"/>
        <v>24.999582149423365</v>
      </c>
      <c r="F41" s="9">
        <f t="shared" si="1"/>
        <v>-897.45499999999993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f>1250.88+888.2</f>
        <v>2139.08</v>
      </c>
      <c r="D43" s="222">
        <v>215.12</v>
      </c>
      <c r="E43" s="9">
        <f t="shared" si="0"/>
        <v>10.056659872468538</v>
      </c>
      <c r="F43" s="9">
        <f t="shared" si="1"/>
        <v>-1923.96</v>
      </c>
    </row>
    <row r="44" spans="1:7" ht="15.75" hidden="1" customHeight="1">
      <c r="A44" s="16">
        <v>2022999910</v>
      </c>
      <c r="B44" s="18" t="s">
        <v>331</v>
      </c>
      <c r="C44" s="442">
        <v>0</v>
      </c>
      <c r="D44" s="443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44.799900000000001</v>
      </c>
      <c r="E45" s="9">
        <f t="shared" si="0"/>
        <v>24.234108501971733</v>
      </c>
      <c r="F45" s="9">
        <f t="shared" si="1"/>
        <v>-140.06309999999999</v>
      </c>
    </row>
    <row r="46" spans="1:7" ht="17.25" customHeight="1">
      <c r="A46" s="16">
        <v>2020400000</v>
      </c>
      <c r="B46" s="17" t="s">
        <v>21</v>
      </c>
      <c r="C46" s="223">
        <v>226.2</v>
      </c>
      <c r="D46" s="229">
        <v>0</v>
      </c>
      <c r="E46" s="9">
        <f t="shared" si="0"/>
        <v>0</v>
      </c>
      <c r="F46" s="9">
        <f t="shared" si="1"/>
        <v>-226.2</v>
      </c>
    </row>
    <row r="47" spans="1:7" ht="17.25" customHeight="1">
      <c r="A47" s="7">
        <v>2070500010</v>
      </c>
      <c r="B47" s="17" t="s">
        <v>338</v>
      </c>
      <c r="C47" s="223"/>
      <c r="D47" s="229">
        <v>0</v>
      </c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61">
        <f>C39+C40</f>
        <v>8466.8055800000002</v>
      </c>
      <c r="D50" s="462">
        <f>D39+D40</f>
        <v>1438.9149899999998</v>
      </c>
      <c r="E50" s="194">
        <f t="shared" si="0"/>
        <v>16.994780102178744</v>
      </c>
      <c r="F50" s="93">
        <f t="shared" si="1"/>
        <v>-7027.8905900000009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174.52601999999979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402</v>
      </c>
      <c r="D53" s="180" t="s">
        <v>413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1690.934</v>
      </c>
      <c r="D55" s="32">
        <f>D56+D57+D58+D59+D60+D62+D61</f>
        <v>287.30646999999999</v>
      </c>
      <c r="E55" s="34">
        <f>SUM(D55/C55*100)</f>
        <v>16.990992552045199</v>
      </c>
      <c r="F55" s="34">
        <f>SUM(D55-C55)</f>
        <v>-1403.62753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287.30646999999999</v>
      </c>
      <c r="E57" s="38">
        <f t="shared" ref="E57:E69" si="3">SUM(D57/C57*100)</f>
        <v>17.55079230299328</v>
      </c>
      <c r="F57" s="38">
        <f t="shared" ref="F57:F69" si="4">SUM(D57-C57)</f>
        <v>-1349.69353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4.9340000000000002</v>
      </c>
      <c r="D62" s="37">
        <v>0</v>
      </c>
      <c r="E62" s="38">
        <f t="shared" si="3"/>
        <v>0</v>
      </c>
      <c r="F62" s="38">
        <f t="shared" si="4"/>
        <v>-4.9340000000000002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28.936720000000001</v>
      </c>
      <c r="E63" s="34">
        <f t="shared" si="3"/>
        <v>16.015186818903825</v>
      </c>
      <c r="F63" s="34">
        <f t="shared" si="4"/>
        <v>-151.74627999999998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28.936720000000001</v>
      </c>
      <c r="E64" s="38">
        <f t="shared" si="3"/>
        <v>16.015186818903825</v>
      </c>
      <c r="F64" s="38">
        <f t="shared" si="4"/>
        <v>-151.74627999999998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6</v>
      </c>
      <c r="D65" s="32">
        <f>SUM(D68+D69+D70)</f>
        <v>0.6</v>
      </c>
      <c r="E65" s="34">
        <f t="shared" si="3"/>
        <v>10</v>
      </c>
      <c r="F65" s="34">
        <f t="shared" si="4"/>
        <v>-5.4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1.6</v>
      </c>
      <c r="D68" s="37">
        <v>0</v>
      </c>
      <c r="E68" s="34">
        <f t="shared" si="3"/>
        <v>0</v>
      </c>
      <c r="F68" s="34">
        <f t="shared" si="4"/>
        <v>-1.6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0.6</v>
      </c>
      <c r="E69" s="38">
        <f t="shared" si="3"/>
        <v>25</v>
      </c>
      <c r="F69" s="38">
        <f t="shared" si="4"/>
        <v>-1.7999999999999998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2812.1273000000001</v>
      </c>
      <c r="D71" s="48">
        <f>SUM(D72:D75)</f>
        <v>342.32150000000001</v>
      </c>
      <c r="E71" s="34">
        <f t="shared" ref="E71:E86" si="5">SUM(D71/C71*100)</f>
        <v>12.173044228829896</v>
      </c>
      <c r="F71" s="34">
        <f t="shared" ref="F71:F86" si="6">SUM(D71-C71)</f>
        <v>-2469.8058000000001</v>
      </c>
    </row>
    <row r="72" spans="1:7" s="6" customFormat="1" ht="17.2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>
      <c r="A73" s="35" t="s">
        <v>59</v>
      </c>
      <c r="B73" s="39" t="s">
        <v>60</v>
      </c>
      <c r="C73" s="49">
        <v>351.2</v>
      </c>
      <c r="D73" s="37">
        <v>55</v>
      </c>
      <c r="E73" s="38">
        <f t="shared" si="5"/>
        <v>15.660592255125286</v>
      </c>
      <c r="F73" s="38">
        <f t="shared" si="6"/>
        <v>-296.2</v>
      </c>
    </row>
    <row r="74" spans="1:7">
      <c r="A74" s="35" t="s">
        <v>61</v>
      </c>
      <c r="B74" s="39" t="s">
        <v>62</v>
      </c>
      <c r="C74" s="49">
        <v>2400.9063000000001</v>
      </c>
      <c r="D74" s="37">
        <v>253.32149999999999</v>
      </c>
      <c r="E74" s="38">
        <f t="shared" si="5"/>
        <v>10.551078149113941</v>
      </c>
      <c r="F74" s="38">
        <f t="shared" si="6"/>
        <v>-2147.5848000000001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34</v>
      </c>
      <c r="E75" s="38">
        <f t="shared" si="5"/>
        <v>68</v>
      </c>
      <c r="F75" s="38">
        <f t="shared" si="6"/>
        <v>-16</v>
      </c>
    </row>
    <row r="76" spans="1:7" ht="17.25" customHeight="1">
      <c r="A76" s="30" t="s">
        <v>65</v>
      </c>
      <c r="B76" s="31" t="s">
        <v>66</v>
      </c>
      <c r="C76" s="32">
        <f>SUM(C77:C79)</f>
        <v>2184.6314000000002</v>
      </c>
      <c r="D76" s="32">
        <f>SUM(D77:D79)</f>
        <v>155.22427999999999</v>
      </c>
      <c r="E76" s="34">
        <f t="shared" si="5"/>
        <v>7.1052846718215239</v>
      </c>
      <c r="F76" s="34">
        <f t="shared" si="6"/>
        <v>-2029.4071200000003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5"/>
        <v>#DIV/0!</v>
      </c>
      <c r="F78" s="38">
        <f t="shared" si="6"/>
        <v>0</v>
      </c>
    </row>
    <row r="79" spans="1:7" s="6" customFormat="1">
      <c r="A79" s="35" t="s">
        <v>71</v>
      </c>
      <c r="B79" s="39" t="s">
        <v>72</v>
      </c>
      <c r="C79" s="37">
        <v>2184.6314000000002</v>
      </c>
      <c r="D79" s="37">
        <v>155.22427999999999</v>
      </c>
      <c r="E79" s="38">
        <f t="shared" si="5"/>
        <v>7.1052846718215239</v>
      </c>
      <c r="F79" s="38">
        <f t="shared" si="6"/>
        <v>-2029.4071200000003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450</v>
      </c>
      <c r="E80" s="34">
        <f t="shared" si="5"/>
        <v>22.78250303766707</v>
      </c>
      <c r="F80" s="34">
        <f t="shared" si="6"/>
        <v>-1525.2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450</v>
      </c>
      <c r="E81" s="38">
        <f t="shared" si="5"/>
        <v>22.78250303766707</v>
      </c>
      <c r="F81" s="38">
        <f t="shared" si="6"/>
        <v>-1525.2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61">
        <f>C55+C63+C65+C71+C76+C80+C82+C87+C93</f>
        <v>8851.5757000000012</v>
      </c>
      <c r="D97" s="461">
        <f>D55+D63+D65+D71+D76+D80+D82+D87+D93</f>
        <v>1264.38897</v>
      </c>
      <c r="E97" s="34">
        <f t="shared" si="7"/>
        <v>14.284337759208226</v>
      </c>
      <c r="F97" s="34">
        <f>SUM(D97-C97)</f>
        <v>-7587.1867300000013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36">
      <selection activeCell="D71" sqref="D7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6">
      <selection activeCell="C97" activeCellId="1" sqref="C50:D50 C97:D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3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28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3" t="s">
        <v>418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839.34459000000004</v>
      </c>
      <c r="E4" s="5">
        <f>SUM(D4/C4*100)</f>
        <v>17.190138058578128</v>
      </c>
      <c r="F4" s="5">
        <f>SUM(D4-C4)</f>
        <v>-4043.3654099999999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355.84316999999999</v>
      </c>
      <c r="E5" s="5">
        <f t="shared" ref="E5:E51" si="0">SUM(D5/C5*100)</f>
        <v>18.562502347417841</v>
      </c>
      <c r="F5" s="5">
        <f t="shared" ref="F5:F51" si="1">SUM(D5-C5)</f>
        <v>-1561.1568299999999</v>
      </c>
    </row>
    <row r="6" spans="1:6">
      <c r="A6" s="7">
        <v>1010200001</v>
      </c>
      <c r="B6" s="8" t="s">
        <v>224</v>
      </c>
      <c r="C6" s="91">
        <v>1917</v>
      </c>
      <c r="D6" s="10">
        <v>355.84316999999999</v>
      </c>
      <c r="E6" s="9">
        <f t="shared" ref="E6:E11" si="2">SUM(D6/C6*100)</f>
        <v>18.562502347417841</v>
      </c>
      <c r="F6" s="9">
        <f t="shared" si="1"/>
        <v>-1561.1568299999999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95.281040000000004</v>
      </c>
      <c r="E7" s="9">
        <f t="shared" si="2"/>
        <v>23.142755823273667</v>
      </c>
      <c r="F7" s="9">
        <f t="shared" si="1"/>
        <v>-316.42895999999996</v>
      </c>
    </row>
    <row r="8" spans="1:6">
      <c r="A8" s="7">
        <v>1030223001</v>
      </c>
      <c r="B8" s="8" t="s">
        <v>268</v>
      </c>
      <c r="C8" s="9">
        <v>153.57</v>
      </c>
      <c r="D8" s="10">
        <v>43.240470000000002</v>
      </c>
      <c r="E8" s="9">
        <f t="shared" si="2"/>
        <v>28.156847040437587</v>
      </c>
      <c r="F8" s="9">
        <f t="shared" si="1"/>
        <v>-110.32952999999999</v>
      </c>
    </row>
    <row r="9" spans="1:6">
      <c r="A9" s="7">
        <v>1030224001</v>
      </c>
      <c r="B9" s="8" t="s">
        <v>274</v>
      </c>
      <c r="C9" s="9">
        <v>1.64</v>
      </c>
      <c r="D9" s="10">
        <v>0.28188999999999997</v>
      </c>
      <c r="E9" s="9">
        <f t="shared" si="2"/>
        <v>17.188414634146341</v>
      </c>
      <c r="F9" s="9">
        <f t="shared" si="1"/>
        <v>-1.3581099999999999</v>
      </c>
    </row>
    <row r="10" spans="1:6">
      <c r="A10" s="7">
        <v>1030225001</v>
      </c>
      <c r="B10" s="8" t="s">
        <v>267</v>
      </c>
      <c r="C10" s="9">
        <v>256.5</v>
      </c>
      <c r="D10" s="10">
        <v>60.690300000000001</v>
      </c>
      <c r="E10" s="9">
        <f t="shared" si="2"/>
        <v>23.660935672514622</v>
      </c>
      <c r="F10" s="9">
        <f t="shared" si="1"/>
        <v>-195.80969999999999</v>
      </c>
    </row>
    <row r="11" spans="1:6">
      <c r="A11" s="7">
        <v>1030226001</v>
      </c>
      <c r="B11" s="8" t="s">
        <v>276</v>
      </c>
      <c r="C11" s="9">
        <v>0</v>
      </c>
      <c r="D11" s="10">
        <v>-8.9316200000000006</v>
      </c>
      <c r="E11" s="9" t="e">
        <f t="shared" si="2"/>
        <v>#DIV/0!</v>
      </c>
      <c r="F11" s="9">
        <f t="shared" si="1"/>
        <v>-8.9316200000000006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24.723649999999999</v>
      </c>
      <c r="E12" s="5">
        <f t="shared" si="0"/>
        <v>32.964866666666666</v>
      </c>
      <c r="F12" s="5">
        <f t="shared" si="1"/>
        <v>-50.276350000000001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24.723649999999999</v>
      </c>
      <c r="E13" s="9">
        <f t="shared" si="0"/>
        <v>32.964866666666666</v>
      </c>
      <c r="F13" s="9">
        <f t="shared" si="1"/>
        <v>-50.276350000000001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363.49673000000001</v>
      </c>
      <c r="E14" s="5">
        <f t="shared" si="0"/>
        <v>14.663038725292457</v>
      </c>
      <c r="F14" s="5">
        <f t="shared" si="1"/>
        <v>-2115.5032700000002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70.975279999999998</v>
      </c>
      <c r="E15" s="9">
        <f t="shared" si="0"/>
        <v>7.2423755102040817</v>
      </c>
      <c r="F15" s="9">
        <f>SUM(D15-C15)</f>
        <v>-909.02472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292.52145000000002</v>
      </c>
      <c r="E16" s="9">
        <f t="shared" si="0"/>
        <v>19.514439626417612</v>
      </c>
      <c r="F16" s="9">
        <f t="shared" si="1"/>
        <v>-1206.47855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0</v>
      </c>
      <c r="E25" s="5" t="e">
        <f t="shared" si="0"/>
        <v>#DIV/0!</v>
      </c>
      <c r="F25" s="5">
        <f t="shared" si="1"/>
        <v>0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7">
        <f>SUM(C4,C25)</f>
        <v>4882.71</v>
      </c>
      <c r="D39" s="127">
        <f>D4+D25</f>
        <v>839.34459000000004</v>
      </c>
      <c r="E39" s="5">
        <f t="shared" si="0"/>
        <v>17.190138058578128</v>
      </c>
      <c r="F39" s="5">
        <f t="shared" si="1"/>
        <v>-4043.3654099999999</v>
      </c>
    </row>
    <row r="40" spans="1:7" s="6" customFormat="1">
      <c r="A40" s="3">
        <v>2000000000</v>
      </c>
      <c r="B40" s="4" t="s">
        <v>17</v>
      </c>
      <c r="C40" s="470">
        <f>C41+C43+C45+C46+C47+C49+C42+C44+C48</f>
        <v>21280.722049999997</v>
      </c>
      <c r="D40" s="93">
        <f>D41+D43+D45+D46+D47+D49+D42+D48</f>
        <v>1864.1554800000001</v>
      </c>
      <c r="E40" s="5">
        <f t="shared" si="0"/>
        <v>8.7598319061735062</v>
      </c>
      <c r="F40" s="5">
        <f t="shared" si="1"/>
        <v>-19416.566569999995</v>
      </c>
      <c r="G40" s="19"/>
    </row>
    <row r="41" spans="1:7" ht="17.25" customHeight="1">
      <c r="A41" s="16">
        <v>2021000000</v>
      </c>
      <c r="B41" s="17" t="s">
        <v>18</v>
      </c>
      <c r="C41" s="12">
        <v>5155.8</v>
      </c>
      <c r="D41" s="20">
        <v>1288.9290000000001</v>
      </c>
      <c r="E41" s="9">
        <f t="shared" si="0"/>
        <v>24.999592691725823</v>
      </c>
      <c r="F41" s="9">
        <f t="shared" si="1"/>
        <v>-3866.8710000000001</v>
      </c>
    </row>
    <row r="42" spans="1:7" ht="15" customHeight="1">
      <c r="A42" s="16">
        <v>2021500210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93">
        <f>9320.3704+379.8</f>
        <v>9700.1703999999991</v>
      </c>
      <c r="D43" s="10">
        <v>101.285</v>
      </c>
      <c r="E43" s="9">
        <f t="shared" si="0"/>
        <v>1.0441569150166683</v>
      </c>
      <c r="F43" s="9">
        <f t="shared" si="1"/>
        <v>-9598.8853999999992</v>
      </c>
    </row>
    <row r="44" spans="1:7" ht="15" hidden="1" customHeight="1">
      <c r="A44" s="16">
        <v>2022999910</v>
      </c>
      <c r="B44" s="18" t="s">
        <v>331</v>
      </c>
      <c r="C44" s="193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11.71</v>
      </c>
      <c r="D45" s="187">
        <v>0</v>
      </c>
      <c r="E45" s="9">
        <f t="shared" si="0"/>
        <v>0</v>
      </c>
      <c r="F45" s="9">
        <f t="shared" si="1"/>
        <v>-11.71</v>
      </c>
    </row>
    <row r="46" spans="1:7" ht="24" customHeight="1">
      <c r="A46" s="16">
        <v>2020400000</v>
      </c>
      <c r="B46" s="17" t="s">
        <v>21</v>
      </c>
      <c r="C46" s="12">
        <v>5940</v>
      </c>
      <c r="D46" s="188">
        <v>0</v>
      </c>
      <c r="E46" s="9">
        <f t="shared" si="0"/>
        <v>0</v>
      </c>
      <c r="F46" s="9">
        <f t="shared" si="1"/>
        <v>-5940</v>
      </c>
    </row>
    <row r="47" spans="1:7" ht="4.5" hidden="1" customHeight="1">
      <c r="A47" s="16">
        <v>2020900000</v>
      </c>
      <c r="B47" s="18" t="s">
        <v>22</v>
      </c>
      <c r="C47" s="12"/>
      <c r="D47" s="188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283</v>
      </c>
      <c r="C48" s="12">
        <v>473.04165</v>
      </c>
      <c r="D48" s="188">
        <v>473.94148000000001</v>
      </c>
      <c r="E48" s="9">
        <f>SUM(D48/C48*100)</f>
        <v>100.1902221506288</v>
      </c>
      <c r="F48" s="9">
        <f>SUM(D48-C48)</f>
        <v>0.89983000000000857</v>
      </c>
    </row>
    <row r="49" spans="1:7" hidden="1">
      <c r="A49" s="7">
        <v>2190500005</v>
      </c>
      <c r="B49" s="11" t="s">
        <v>23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91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93">
        <f>SUM(C39,C40,C50)</f>
        <v>26163.432049999996</v>
      </c>
      <c r="D51" s="462">
        <f>D39+D40</f>
        <v>2703.5000700000001</v>
      </c>
      <c r="E51" s="93">
        <f t="shared" si="0"/>
        <v>10.333124740031959</v>
      </c>
      <c r="F51" s="93">
        <f t="shared" si="1"/>
        <v>-23459.931979999994</v>
      </c>
      <c r="G51" s="151">
        <f>18968.9976-D51</f>
        <v>16265.497529999999</v>
      </c>
    </row>
    <row r="52" spans="1:7" s="6" customFormat="1" ht="23.25" customHeight="1">
      <c r="A52" s="3"/>
      <c r="B52" s="21" t="s">
        <v>306</v>
      </c>
      <c r="C52" s="93">
        <f>C51-C98</f>
        <v>-112.35854000000836</v>
      </c>
      <c r="D52" s="93">
        <f>D51-D98</f>
        <v>394.4673600000001</v>
      </c>
      <c r="E52" s="195"/>
      <c r="F52" s="195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184" t="s">
        <v>402</v>
      </c>
      <c r="D54" s="73" t="s">
        <v>413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2106.0650000000001</v>
      </c>
      <c r="D56" s="33">
        <f>D57+D58+D59+D60+D61+D63+D62</f>
        <v>467.55862999999999</v>
      </c>
      <c r="E56" s="34">
        <f>SUM(D56/C56*100)</f>
        <v>22.20057927936697</v>
      </c>
      <c r="F56" s="34">
        <f>SUM(D56-C56)</f>
        <v>-1638.5063700000001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7">
        <v>1909.2</v>
      </c>
      <c r="D58" s="37">
        <v>460.55862999999999</v>
      </c>
      <c r="E58" s="38">
        <f t="shared" ref="E58:E98" si="3">SUM(D58/C58*100)</f>
        <v>24.123121202597947</v>
      </c>
      <c r="F58" s="38">
        <f t="shared" ref="F58:F98" si="4">SUM(D58-C58)</f>
        <v>-1448.6413700000001</v>
      </c>
    </row>
    <row r="59" spans="1:7" ht="1.5" hidden="1" customHeight="1">
      <c r="A59" s="35" t="s">
        <v>33</v>
      </c>
      <c r="B59" s="39" t="s">
        <v>34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7">
        <v>90</v>
      </c>
      <c r="D61" s="37">
        <v>0</v>
      </c>
      <c r="E61" s="38">
        <f t="shared" si="3"/>
        <v>0</v>
      </c>
      <c r="F61" s="38">
        <f t="shared" si="4"/>
        <v>-90</v>
      </c>
    </row>
    <row r="62" spans="1:7" ht="18" customHeight="1">
      <c r="A62" s="35" t="s">
        <v>39</v>
      </c>
      <c r="B62" s="39" t="s">
        <v>40</v>
      </c>
      <c r="C62" s="149">
        <v>55</v>
      </c>
      <c r="D62" s="40">
        <v>0</v>
      </c>
      <c r="E62" s="38">
        <f t="shared" si="3"/>
        <v>0</v>
      </c>
      <c r="F62" s="38">
        <f t="shared" si="4"/>
        <v>-55</v>
      </c>
    </row>
    <row r="63" spans="1:7" ht="15.75" customHeight="1">
      <c r="A63" s="35" t="s">
        <v>41</v>
      </c>
      <c r="B63" s="39" t="s">
        <v>42</v>
      </c>
      <c r="C63" s="97">
        <v>51.865000000000002</v>
      </c>
      <c r="D63" s="37">
        <v>7</v>
      </c>
      <c r="E63" s="38">
        <f t="shared" si="3"/>
        <v>13.49657765352357</v>
      </c>
      <c r="F63" s="38">
        <f t="shared" si="4"/>
        <v>-44.865000000000002</v>
      </c>
    </row>
    <row r="64" spans="1:7" s="6" customFormat="1" ht="15.75" hidden="1" customHeight="1">
      <c r="A64" s="41" t="s">
        <v>43</v>
      </c>
      <c r="B64" s="42" t="s">
        <v>44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50">
        <f>C69+C70+C71</f>
        <v>112</v>
      </c>
      <c r="D66" s="150">
        <f>SUM(D69+D70+D71)</f>
        <v>0</v>
      </c>
      <c r="E66" s="34">
        <f t="shared" si="3"/>
        <v>0</v>
      </c>
      <c r="F66" s="34">
        <f t="shared" si="4"/>
        <v>-112</v>
      </c>
    </row>
    <row r="67" spans="1:7" ht="3.75" hidden="1" customHeight="1">
      <c r="A67" s="35" t="s">
        <v>49</v>
      </c>
      <c r="B67" s="39" t="s">
        <v>50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7">
        <v>10</v>
      </c>
      <c r="D69" s="37">
        <v>0</v>
      </c>
      <c r="E69" s="34">
        <f t="shared" si="3"/>
        <v>0</v>
      </c>
      <c r="F69" s="34">
        <f t="shared" si="4"/>
        <v>-10</v>
      </c>
    </row>
    <row r="70" spans="1:7" ht="17.25" customHeight="1">
      <c r="A70" s="46" t="s">
        <v>214</v>
      </c>
      <c r="B70" s="47" t="s">
        <v>215</v>
      </c>
      <c r="C70" s="97">
        <v>100</v>
      </c>
      <c r="D70" s="37">
        <v>0</v>
      </c>
      <c r="E70" s="34">
        <f t="shared" si="3"/>
        <v>0</v>
      </c>
      <c r="F70" s="34">
        <f t="shared" si="4"/>
        <v>-100</v>
      </c>
    </row>
    <row r="71" spans="1:7" ht="17.25" customHeight="1">
      <c r="A71" s="46" t="s">
        <v>339</v>
      </c>
      <c r="B71" s="47" t="s">
        <v>394</v>
      </c>
      <c r="C71" s="97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3283.36319</v>
      </c>
      <c r="D72" s="48">
        <f>SUM(D73:D76)</f>
        <v>384.57019000000003</v>
      </c>
      <c r="E72" s="34">
        <f t="shared" si="3"/>
        <v>11.712691156776964</v>
      </c>
      <c r="F72" s="34">
        <f t="shared" si="4"/>
        <v>-2898.7930000000001</v>
      </c>
    </row>
    <row r="73" spans="1:7" ht="15" customHeight="1">
      <c r="A73" s="35" t="s">
        <v>57</v>
      </c>
      <c r="B73" s="39" t="s">
        <v>58</v>
      </c>
      <c r="C73" s="49">
        <v>28.632000000000001</v>
      </c>
      <c r="D73" s="37">
        <v>0</v>
      </c>
      <c r="E73" s="38">
        <f t="shared" si="3"/>
        <v>0</v>
      </c>
      <c r="F73" s="38">
        <f t="shared" si="4"/>
        <v>-28.632000000000001</v>
      </c>
    </row>
    <row r="74" spans="1:7" s="6" customFormat="1" ht="15.75" customHeight="1">
      <c r="A74" s="35" t="s">
        <v>59</v>
      </c>
      <c r="B74" s="39" t="s">
        <v>60</v>
      </c>
      <c r="C74" s="49">
        <v>400</v>
      </c>
      <c r="D74" s="37">
        <v>210.26219</v>
      </c>
      <c r="E74" s="38">
        <f t="shared" si="3"/>
        <v>52.565547500000001</v>
      </c>
      <c r="F74" s="38">
        <f t="shared" si="4"/>
        <v>-189.73781</v>
      </c>
      <c r="G74" s="50"/>
    </row>
    <row r="75" spans="1:7" ht="15" customHeight="1">
      <c r="A75" s="35" t="s">
        <v>61</v>
      </c>
      <c r="B75" s="39" t="s">
        <v>62</v>
      </c>
      <c r="C75" s="49">
        <v>2654.73119</v>
      </c>
      <c r="D75" s="37">
        <v>174.30799999999999</v>
      </c>
      <c r="E75" s="38">
        <f t="shared" si="3"/>
        <v>6.5659378492479314</v>
      </c>
      <c r="F75" s="38">
        <f t="shared" si="4"/>
        <v>-2480.42319</v>
      </c>
    </row>
    <row r="76" spans="1:7" ht="18" customHeight="1">
      <c r="A76" s="35" t="s">
        <v>63</v>
      </c>
      <c r="B76" s="39" t="s">
        <v>64</v>
      </c>
      <c r="C76" s="49">
        <v>200</v>
      </c>
      <c r="D76" s="37">
        <v>0</v>
      </c>
      <c r="E76" s="38">
        <f t="shared" si="3"/>
        <v>0</v>
      </c>
      <c r="F76" s="38">
        <f t="shared" si="4"/>
        <v>-200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16292.5494</v>
      </c>
      <c r="D77" s="32">
        <f>D78+D79+D80+D83</f>
        <v>342.60489000000001</v>
      </c>
      <c r="E77" s="34">
        <f t="shared" si="3"/>
        <v>2.1028316783866865</v>
      </c>
      <c r="F77" s="34">
        <f t="shared" si="4"/>
        <v>-15949.944509999999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0.25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71</v>
      </c>
      <c r="B80" s="39" t="s">
        <v>72</v>
      </c>
      <c r="C80" s="37">
        <v>16292.5494</v>
      </c>
      <c r="D80" s="37">
        <v>342.60489000000001</v>
      </c>
      <c r="E80" s="38">
        <f t="shared" si="3"/>
        <v>2.1028316783866865</v>
      </c>
      <c r="F80" s="38">
        <f t="shared" si="4"/>
        <v>-15949.944509999999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4457.2</v>
      </c>
      <c r="D81" s="32">
        <f>D82</f>
        <v>1114.299</v>
      </c>
      <c r="E81" s="38">
        <f t="shared" si="3"/>
        <v>24.9999775643902</v>
      </c>
      <c r="F81" s="38">
        <f t="shared" si="4"/>
        <v>-3342.9009999999998</v>
      </c>
    </row>
    <row r="82" spans="1:6" ht="19.5" customHeight="1">
      <c r="A82" s="35" t="s">
        <v>85</v>
      </c>
      <c r="B82" s="39" t="s">
        <v>229</v>
      </c>
      <c r="C82" s="37">
        <v>4457.2</v>
      </c>
      <c r="D82" s="37">
        <v>1114.299</v>
      </c>
      <c r="E82" s="38">
        <f t="shared" si="3"/>
        <v>24.9999775643902</v>
      </c>
      <c r="F82" s="38">
        <f t="shared" si="4"/>
        <v>-3342.9009999999998</v>
      </c>
    </row>
    <row r="83" spans="1:6" ht="15" hidden="1" customHeight="1">
      <c r="A83" s="35" t="s">
        <v>251</v>
      </c>
      <c r="B83" s="39" t="s">
        <v>252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24.613</v>
      </c>
      <c r="D89" s="32">
        <f>D90+D91+D92+D93+D94</f>
        <v>0</v>
      </c>
      <c r="E89" s="38">
        <f t="shared" si="3"/>
        <v>0</v>
      </c>
      <c r="F89" s="22">
        <f>F90+F91+F92+F93+F94</f>
        <v>-24.613</v>
      </c>
    </row>
    <row r="90" spans="1:6" ht="15.75" customHeight="1">
      <c r="A90" s="35" t="s">
        <v>94</v>
      </c>
      <c r="B90" s="39" t="s">
        <v>95</v>
      </c>
      <c r="C90" s="37">
        <v>24.613</v>
      </c>
      <c r="D90" s="37">
        <v>0</v>
      </c>
      <c r="E90" s="38">
        <f t="shared" si="3"/>
        <v>0</v>
      </c>
      <c r="F90" s="38">
        <f>SUM(D90-C90)</f>
        <v>-24.613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5"/>
      <c r="D96" s="176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461">
        <f>C56+C72+C77+C84+C89+C95+C66+C81</f>
        <v>26275.790590000004</v>
      </c>
      <c r="D98" s="461">
        <f>SUM(D56+D66+D72+D77+D81+D89)</f>
        <v>2309.03271</v>
      </c>
      <c r="E98" s="34">
        <f t="shared" si="3"/>
        <v>8.7876812006515514</v>
      </c>
      <c r="F98" s="34">
        <f t="shared" si="4"/>
        <v>-23966.757880000005</v>
      </c>
      <c r="G98" s="200"/>
    </row>
    <row r="99" spans="1:7" ht="20.25" customHeight="1">
      <c r="D99" s="181"/>
    </row>
    <row r="100" spans="1:7" s="65" customFormat="1" ht="13.5" customHeight="1">
      <c r="A100" s="63" t="s">
        <v>117</v>
      </c>
      <c r="B100" s="63"/>
      <c r="C100" s="119"/>
      <c r="D100" s="64"/>
    </row>
    <row r="101" spans="1:7" s="65" customFormat="1" ht="12.75">
      <c r="A101" s="66" t="s">
        <v>118</v>
      </c>
      <c r="B101" s="66"/>
      <c r="C101" s="134" t="s">
        <v>119</v>
      </c>
      <c r="D101" s="134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3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4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15" zoomScale="70" zoomScaleNormal="100" zoomScaleSheetLayoutView="86" workbookViewId="0">
      <selection activeCell="C41" sqref="C41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23" t="s">
        <v>419</v>
      </c>
      <c r="B1" s="523"/>
      <c r="C1" s="523"/>
      <c r="D1" s="523"/>
      <c r="E1" s="523"/>
      <c r="F1" s="523"/>
    </row>
    <row r="2" spans="1:6">
      <c r="A2" s="523"/>
      <c r="B2" s="523"/>
      <c r="C2" s="523"/>
      <c r="D2" s="523"/>
      <c r="E2" s="523"/>
      <c r="F2" s="523"/>
    </row>
    <row r="3" spans="1:6" ht="63">
      <c r="A3" s="2" t="s">
        <v>0</v>
      </c>
      <c r="B3" s="2" t="s">
        <v>1</v>
      </c>
      <c r="C3" s="72" t="s">
        <v>402</v>
      </c>
      <c r="D3" s="73" t="s">
        <v>412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1106.61969</v>
      </c>
      <c r="E4" s="5">
        <f>SUM(D4/C4*100)</f>
        <v>22.049971008370708</v>
      </c>
      <c r="F4" s="5">
        <f>SUM(D4-C4)</f>
        <v>-3912.0703100000005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436.77958000000001</v>
      </c>
      <c r="E5" s="5">
        <f t="shared" ref="E5:E52" si="0">SUM(D5/C5*100)</f>
        <v>27.178120838777925</v>
      </c>
      <c r="F5" s="5">
        <f t="shared" ref="F5:F52" si="1">SUM(D5-C5)</f>
        <v>-1170.32042</v>
      </c>
    </row>
    <row r="6" spans="1:6">
      <c r="A6" s="7">
        <v>1010200001</v>
      </c>
      <c r="B6" s="8" t="s">
        <v>224</v>
      </c>
      <c r="C6" s="9">
        <v>1607.1</v>
      </c>
      <c r="D6" s="10">
        <v>436.77958000000001</v>
      </c>
      <c r="E6" s="9">
        <f t="shared" ref="E6:E11" si="2">SUM(D6/C6*100)</f>
        <v>27.178120838777925</v>
      </c>
      <c r="F6" s="9">
        <f t="shared" si="1"/>
        <v>-1170.32042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178.79899</v>
      </c>
      <c r="E7" s="9">
        <f t="shared" si="2"/>
        <v>23.142804074606193</v>
      </c>
      <c r="F7" s="9">
        <f t="shared" si="1"/>
        <v>-593.79101000000003</v>
      </c>
    </row>
    <row r="8" spans="1:6">
      <c r="A8" s="7">
        <v>1030223001</v>
      </c>
      <c r="B8" s="8" t="s">
        <v>268</v>
      </c>
      <c r="C8" s="9">
        <v>288.18</v>
      </c>
      <c r="D8" s="10">
        <v>81.142610000000005</v>
      </c>
      <c r="E8" s="9">
        <f t="shared" si="2"/>
        <v>28.156919286557013</v>
      </c>
      <c r="F8" s="9">
        <f t="shared" si="1"/>
        <v>-207.03739000000002</v>
      </c>
    </row>
    <row r="9" spans="1:6">
      <c r="A9" s="7">
        <v>1030224001</v>
      </c>
      <c r="B9" s="8" t="s">
        <v>274</v>
      </c>
      <c r="C9" s="9">
        <v>3.09</v>
      </c>
      <c r="D9" s="10">
        <v>0.52897000000000005</v>
      </c>
      <c r="E9" s="9">
        <f t="shared" si="2"/>
        <v>17.118770226537219</v>
      </c>
      <c r="F9" s="9">
        <f t="shared" si="1"/>
        <v>-2.5610299999999997</v>
      </c>
    </row>
    <row r="10" spans="1:6">
      <c r="A10" s="7">
        <v>1030225001</v>
      </c>
      <c r="B10" s="8" t="s">
        <v>267</v>
      </c>
      <c r="C10" s="9">
        <v>481.32</v>
      </c>
      <c r="D10" s="10">
        <v>113.88798</v>
      </c>
      <c r="E10" s="9">
        <f t="shared" si="2"/>
        <v>23.661593118922962</v>
      </c>
      <c r="F10" s="9">
        <f t="shared" si="1"/>
        <v>-367.43201999999997</v>
      </c>
    </row>
    <row r="11" spans="1:6">
      <c r="A11" s="7">
        <v>1030226001</v>
      </c>
      <c r="B11" s="8" t="s">
        <v>277</v>
      </c>
      <c r="C11" s="9">
        <v>0</v>
      </c>
      <c r="D11" s="10">
        <v>-16.760570000000001</v>
      </c>
      <c r="E11" s="9" t="e">
        <f t="shared" si="2"/>
        <v>#DIV/0!</v>
      </c>
      <c r="F11" s="9">
        <f t="shared" si="1"/>
        <v>-16.760570000000001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469.82532000000003</v>
      </c>
      <c r="E14" s="5">
        <f t="shared" si="0"/>
        <v>18.063257208765858</v>
      </c>
      <c r="F14" s="5">
        <f t="shared" si="1"/>
        <v>-2131.1746800000001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346.6943</v>
      </c>
      <c r="E15" s="9">
        <f t="shared" si="0"/>
        <v>77.043177777777785</v>
      </c>
      <c r="F15" s="9">
        <f>SUM(D15-C15)</f>
        <v>-103.3057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123.13102000000001</v>
      </c>
      <c r="E16" s="9">
        <f t="shared" si="0"/>
        <v>5.7243616922361698</v>
      </c>
      <c r="F16" s="9">
        <f t="shared" si="1"/>
        <v>-2027.86898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0.4</v>
      </c>
      <c r="E17" s="5">
        <f t="shared" si="0"/>
        <v>5</v>
      </c>
      <c r="F17" s="5">
        <f t="shared" si="1"/>
        <v>-7.6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0.4</v>
      </c>
      <c r="E18" s="9">
        <f t="shared" si="0"/>
        <v>5</v>
      </c>
      <c r="F18" s="9">
        <f t="shared" si="1"/>
        <v>-7.6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0</v>
      </c>
      <c r="D25" s="5">
        <f>D26+D29+D31+D36+D34</f>
        <v>0</v>
      </c>
      <c r="E25" s="5" t="e">
        <f t="shared" si="0"/>
        <v>#DIV/0!</v>
      </c>
      <c r="F25" s="5">
        <f t="shared" si="1"/>
        <v>0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-1.78</v>
      </c>
      <c r="E36" s="5" t="e">
        <f t="shared" si="0"/>
        <v>#DIV/0!</v>
      </c>
      <c r="F36" s="5">
        <f t="shared" si="1"/>
        <v>-1.78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-1.78</v>
      </c>
      <c r="E37" s="9" t="e">
        <f t="shared" si="0"/>
        <v>#DIV/0!</v>
      </c>
      <c r="F37" s="9">
        <f t="shared" si="1"/>
        <v>-1.78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5018.6900000000005</v>
      </c>
      <c r="D39" s="127">
        <f>SUM(D4,D25)</f>
        <v>1106.61969</v>
      </c>
      <c r="E39" s="5">
        <f t="shared" si="0"/>
        <v>22.049971008370708</v>
      </c>
      <c r="F39" s="5">
        <f t="shared" si="1"/>
        <v>-3912.0703100000005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9468.2978999999996</v>
      </c>
      <c r="D40" s="234">
        <f>D41+D43+D45+D46+D48+D49+D42+D44+D51+D47</f>
        <v>728.77089999999998</v>
      </c>
      <c r="E40" s="5">
        <f t="shared" si="0"/>
        <v>7.6969578661017835</v>
      </c>
      <c r="F40" s="5">
        <f t="shared" si="1"/>
        <v>-8739.527</v>
      </c>
      <c r="G40" s="19"/>
    </row>
    <row r="41" spans="1:7" ht="15.75" customHeight="1">
      <c r="A41" s="16">
        <v>2021500200</v>
      </c>
      <c r="B41" s="17" t="s">
        <v>396</v>
      </c>
      <c r="C41" s="12">
        <v>1600</v>
      </c>
      <c r="D41" s="20">
        <v>0</v>
      </c>
      <c r="E41" s="9">
        <f t="shared" si="0"/>
        <v>0</v>
      </c>
      <c r="F41" s="9">
        <f t="shared" si="1"/>
        <v>-1600</v>
      </c>
    </row>
    <row r="42" spans="1:7" ht="15.75" customHeight="1">
      <c r="A42" s="16">
        <v>2020100310</v>
      </c>
      <c r="B42" s="17" t="s">
        <v>227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5536.2950199999996</v>
      </c>
      <c r="D43" s="10">
        <v>183.971</v>
      </c>
      <c r="E43" s="9">
        <f t="shared" si="0"/>
        <v>3.3229984915074127</v>
      </c>
      <c r="F43" s="9">
        <f t="shared" si="1"/>
        <v>-5352.32402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184.863</v>
      </c>
      <c r="D45" s="187">
        <v>44.799900000000001</v>
      </c>
      <c r="E45" s="9">
        <f t="shared" si="0"/>
        <v>24.234108501971733</v>
      </c>
      <c r="F45" s="9">
        <f t="shared" si="1"/>
        <v>-140.06309999999999</v>
      </c>
    </row>
    <row r="46" spans="1:7" ht="15" customHeight="1">
      <c r="A46" s="16">
        <v>2020400000</v>
      </c>
      <c r="B46" s="17" t="s">
        <v>21</v>
      </c>
      <c r="C46" s="12">
        <v>1647.3</v>
      </c>
      <c r="D46" s="188">
        <v>0</v>
      </c>
      <c r="E46" s="9">
        <f t="shared" si="0"/>
        <v>0</v>
      </c>
      <c r="F46" s="9">
        <f t="shared" si="1"/>
        <v>-1647.3</v>
      </c>
    </row>
    <row r="47" spans="1:7" ht="12.75" customHeight="1">
      <c r="A47" s="16">
        <v>2020700000</v>
      </c>
      <c r="B47" s="17" t="s">
        <v>338</v>
      </c>
      <c r="C47" s="12">
        <v>499.83987999999999</v>
      </c>
      <c r="D47" s="188">
        <v>500</v>
      </c>
      <c r="E47" s="9">
        <f t="shared" si="0"/>
        <v>100.032034258651</v>
      </c>
      <c r="F47" s="9">
        <f t="shared" si="1"/>
        <v>0.16012000000000626</v>
      </c>
    </row>
    <row r="48" spans="1:7" ht="15" customHeight="1">
      <c r="A48" s="16">
        <v>2020900000</v>
      </c>
      <c r="B48" s="18" t="s">
        <v>22</v>
      </c>
      <c r="C48" s="12">
        <v>0</v>
      </c>
      <c r="D48" s="188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0</v>
      </c>
      <c r="D51" s="10">
        <v>0</v>
      </c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93">
        <f>C39+C40</f>
        <v>14486.9879</v>
      </c>
      <c r="D52" s="462">
        <f>D39+D40</f>
        <v>1835.39059</v>
      </c>
      <c r="E52" s="5">
        <f t="shared" si="0"/>
        <v>12.669235334972564</v>
      </c>
      <c r="F52" s="5">
        <f t="shared" si="1"/>
        <v>-12651.597310000001</v>
      </c>
      <c r="G52" s="94"/>
    </row>
    <row r="53" spans="1:7" s="6" customFormat="1">
      <c r="A53" s="3"/>
      <c r="B53" s="21" t="s">
        <v>307</v>
      </c>
      <c r="C53" s="93">
        <f>C52-C103</f>
        <v>-148.79490999999871</v>
      </c>
      <c r="D53" s="93">
        <f>D52-D103</f>
        <v>817.85924</v>
      </c>
      <c r="E53" s="22"/>
      <c r="F53" s="22"/>
    </row>
    <row r="54" spans="1:7">
      <c r="A54" s="23"/>
      <c r="B54" s="24"/>
      <c r="C54" s="186"/>
      <c r="D54" s="186"/>
      <c r="E54" s="26"/>
      <c r="F54" s="92"/>
    </row>
    <row r="55" spans="1:7" ht="42.75" customHeight="1">
      <c r="A55" s="28" t="s">
        <v>0</v>
      </c>
      <c r="B55" s="28" t="s">
        <v>26</v>
      </c>
      <c r="C55" s="179" t="s">
        <v>402</v>
      </c>
      <c r="D55" s="180" t="s">
        <v>413</v>
      </c>
      <c r="E55" s="72" t="s">
        <v>2</v>
      </c>
      <c r="F55" s="74" t="s">
        <v>3</v>
      </c>
    </row>
    <row r="56" spans="1:7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29.25" customHeight="1">
      <c r="A57" s="30" t="s">
        <v>27</v>
      </c>
      <c r="B57" s="31" t="s">
        <v>28</v>
      </c>
      <c r="C57" s="182">
        <f>C58+C59+C60+C61+C62+C64+C63</f>
        <v>2234.732</v>
      </c>
      <c r="D57" s="32">
        <f>D58+D59+D60+D61+D62+D64+D63</f>
        <v>447.68360999999999</v>
      </c>
      <c r="E57" s="34">
        <f>SUM(D57/C57*100)</f>
        <v>20.032988743169202</v>
      </c>
      <c r="F57" s="34">
        <f>SUM(D57-C57)</f>
        <v>-1787.0483899999999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2193.3000000000002</v>
      </c>
      <c r="D59" s="37">
        <v>447.68360999999999</v>
      </c>
      <c r="E59" s="38">
        <f t="shared" ref="E59:E103" si="3">SUM(D59/C59*100)</f>
        <v>20.4114170428122</v>
      </c>
      <c r="F59" s="38">
        <f t="shared" ref="F59:F103" si="4">SUM(D59-C59)</f>
        <v>-1745.6163900000001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>
        <v>32</v>
      </c>
      <c r="D62" s="37">
        <v>0</v>
      </c>
      <c r="E62" s="38">
        <f t="shared" si="3"/>
        <v>0</v>
      </c>
      <c r="F62" s="38">
        <f t="shared" si="4"/>
        <v>-32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4.4320000000000004</v>
      </c>
      <c r="D64" s="37">
        <v>0</v>
      </c>
      <c r="E64" s="38">
        <f t="shared" si="3"/>
        <v>0</v>
      </c>
      <c r="F64" s="38">
        <f t="shared" si="4"/>
        <v>-4.4320000000000004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26.476759999999999</v>
      </c>
      <c r="E65" s="34">
        <f t="shared" si="3"/>
        <v>14.6537084285738</v>
      </c>
      <c r="F65" s="34">
        <f t="shared" si="4"/>
        <v>-154.20623999999998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26.476759999999999</v>
      </c>
      <c r="E66" s="38">
        <f t="shared" si="3"/>
        <v>14.6537084285738</v>
      </c>
      <c r="F66" s="38">
        <f t="shared" si="4"/>
        <v>-154.20623999999998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6</v>
      </c>
      <c r="D67" s="32">
        <f>D70+D71</f>
        <v>0.6</v>
      </c>
      <c r="E67" s="34">
        <f t="shared" si="3"/>
        <v>10</v>
      </c>
      <c r="F67" s="34">
        <f t="shared" si="4"/>
        <v>-5.4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1.6</v>
      </c>
      <c r="D70" s="37">
        <v>0</v>
      </c>
      <c r="E70" s="34">
        <f t="shared" si="3"/>
        <v>0</v>
      </c>
      <c r="F70" s="34">
        <f t="shared" si="4"/>
        <v>-1.6</v>
      </c>
    </row>
    <row r="71" spans="1:7" ht="15.75" customHeight="1">
      <c r="A71" s="46" t="s">
        <v>214</v>
      </c>
      <c r="B71" s="47" t="s">
        <v>215</v>
      </c>
      <c r="C71" s="37">
        <v>2.4</v>
      </c>
      <c r="D71" s="37">
        <v>0.6</v>
      </c>
      <c r="E71" s="34">
        <f t="shared" si="3"/>
        <v>25</v>
      </c>
      <c r="F71" s="34">
        <f t="shared" si="4"/>
        <v>-1.7999999999999998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10404.35981</v>
      </c>
      <c r="D73" s="48">
        <f>SUM(D74:D77)</f>
        <v>257.90600000000001</v>
      </c>
      <c r="E73" s="34">
        <f t="shared" si="3"/>
        <v>2.4788262296745773</v>
      </c>
      <c r="F73" s="34">
        <f t="shared" si="4"/>
        <v>-10146.453809999999</v>
      </c>
    </row>
    <row r="74" spans="1:7" ht="1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5" customHeight="1">
      <c r="A75" s="35" t="s">
        <v>59</v>
      </c>
      <c r="B75" s="39" t="s">
        <v>60</v>
      </c>
      <c r="C75" s="49">
        <v>6891.6593999999996</v>
      </c>
      <c r="D75" s="37">
        <v>44.106000000000002</v>
      </c>
      <c r="E75" s="38">
        <f t="shared" si="3"/>
        <v>0.63999100129643671</v>
      </c>
      <c r="F75" s="38">
        <f t="shared" si="4"/>
        <v>-6847.5533999999998</v>
      </c>
      <c r="G75" s="50"/>
    </row>
    <row r="76" spans="1:7">
      <c r="A76" s="35" t="s">
        <v>61</v>
      </c>
      <c r="B76" s="39" t="s">
        <v>62</v>
      </c>
      <c r="C76" s="49">
        <v>2039.52439</v>
      </c>
      <c r="D76" s="37">
        <v>213.8</v>
      </c>
      <c r="E76" s="38">
        <f t="shared" si="3"/>
        <v>10.482836147892304</v>
      </c>
      <c r="F76" s="38">
        <f t="shared" si="4"/>
        <v>-1825.7243900000001</v>
      </c>
    </row>
    <row r="77" spans="1:7">
      <c r="A77" s="35" t="s">
        <v>63</v>
      </c>
      <c r="B77" s="39" t="s">
        <v>64</v>
      </c>
      <c r="C77" s="49">
        <v>1463.1550199999999</v>
      </c>
      <c r="D77" s="37">
        <v>0</v>
      </c>
      <c r="E77" s="38">
        <f t="shared" si="3"/>
        <v>0</v>
      </c>
      <c r="F77" s="38">
        <f t="shared" si="4"/>
        <v>-1463.1550199999999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566.00800000000004</v>
      </c>
      <c r="D78" s="32">
        <f>SUM(D79:D82)</f>
        <v>269.86498</v>
      </c>
      <c r="E78" s="34">
        <f t="shared" si="3"/>
        <v>47.678651185142257</v>
      </c>
      <c r="F78" s="34">
        <f t="shared" si="4"/>
        <v>-296.14302000000004</v>
      </c>
    </row>
    <row r="79" spans="1:7" ht="17.2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5" hidden="1" customHeight="1">
      <c r="A80" s="35" t="s">
        <v>69</v>
      </c>
      <c r="B80" s="51" t="s">
        <v>70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8" customHeight="1">
      <c r="A81" s="35" t="s">
        <v>71</v>
      </c>
      <c r="B81" s="39" t="s">
        <v>72</v>
      </c>
      <c r="C81" s="37">
        <v>566.00800000000004</v>
      </c>
      <c r="D81" s="37">
        <v>269.86498</v>
      </c>
      <c r="E81" s="38">
        <f t="shared" si="3"/>
        <v>47.678651185142257</v>
      </c>
      <c r="F81" s="38">
        <f t="shared" si="4"/>
        <v>-296.14302000000004</v>
      </c>
    </row>
    <row r="82" spans="1:6" hidden="1">
      <c r="A82" s="35" t="s">
        <v>251</v>
      </c>
      <c r="B82" s="39" t="s">
        <v>252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1212</v>
      </c>
      <c r="D83" s="32">
        <f>D84+D85</f>
        <v>0</v>
      </c>
      <c r="E83" s="34">
        <f t="shared" si="3"/>
        <v>0</v>
      </c>
      <c r="F83" s="34">
        <f t="shared" si="4"/>
        <v>-1212</v>
      </c>
    </row>
    <row r="84" spans="1:6" ht="18" customHeight="1">
      <c r="A84" s="35" t="s">
        <v>85</v>
      </c>
      <c r="B84" s="39" t="s">
        <v>229</v>
      </c>
      <c r="C84" s="37">
        <v>1212</v>
      </c>
      <c r="D84" s="37">
        <v>0</v>
      </c>
      <c r="E84" s="38">
        <f t="shared" si="3"/>
        <v>0</v>
      </c>
      <c r="F84" s="38">
        <f t="shared" si="4"/>
        <v>-1212</v>
      </c>
    </row>
    <row r="85" spans="1:6" hidden="1">
      <c r="A85" s="35" t="s">
        <v>258</v>
      </c>
      <c r="B85" s="39" t="s">
        <v>259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32</v>
      </c>
      <c r="D93" s="32">
        <f>D94+D95+D96+D97+D98</f>
        <v>15</v>
      </c>
      <c r="E93" s="38">
        <f t="shared" si="3"/>
        <v>46.875</v>
      </c>
      <c r="F93" s="22">
        <f>F94+F95+F96+F97+F98</f>
        <v>-17</v>
      </c>
    </row>
    <row r="94" spans="1:6" ht="18.75" customHeight="1">
      <c r="A94" s="53">
        <v>1101</v>
      </c>
      <c r="B94" s="54" t="s">
        <v>95</v>
      </c>
      <c r="C94" s="37">
        <v>32</v>
      </c>
      <c r="D94" s="37">
        <v>15</v>
      </c>
      <c r="E94" s="38">
        <f t="shared" si="3"/>
        <v>46.875</v>
      </c>
      <c r="F94" s="38">
        <f>SUM(D94-C94)</f>
        <v>-17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461">
        <f>C57+C65+C67+C73+C78+C83+C86+C93+C99+C91</f>
        <v>14635.782809999999</v>
      </c>
      <c r="D103" s="461">
        <f>D57+D65+D67+D73+D78+D83+D86+D93+D99+D91</f>
        <v>1017.53135</v>
      </c>
      <c r="E103" s="34">
        <f t="shared" si="3"/>
        <v>6.9523534423096569</v>
      </c>
      <c r="F103" s="34">
        <f t="shared" si="4"/>
        <v>-13618.251459999999</v>
      </c>
    </row>
    <row r="104" spans="1:6">
      <c r="D104" s="181"/>
    </row>
    <row r="105" spans="1:6" s="65" customFormat="1" ht="12.75">
      <c r="A105" s="63" t="s">
        <v>117</v>
      </c>
      <c r="B105" s="63"/>
      <c r="C105" s="119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 topLeftCell="A15">
      <selection activeCell="C41" sqref="C4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43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3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2020-04-09T07:12:24Z</cp:lastPrinted>
  <dcterms:created xsi:type="dcterms:W3CDTF">1996-10-08T23:32:33Z</dcterms:created>
  <dcterms:modified xsi:type="dcterms:W3CDTF">2020-04-09T11:02:10Z</dcterms:modified>
</cp:coreProperties>
</file>