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1211.xml" ContentType="application/vnd.openxmlformats-officedocument.spreadsheetml.revisionLog+xml"/>
  <Override PartName="/xl/revisions/revisionLog1251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153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341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1511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34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321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3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92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10121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322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34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34.xml" ContentType="application/vnd.openxmlformats-officedocument.spreadsheetml.revisionLog+xml"/>
  <Override PartName="/docProps/core.xml" ContentType="application/vnd.openxmlformats-package.core-properties+xml"/>
  <Override PartName="/xl/revisions/revisionLog1152.xml" ContentType="application/vnd.openxmlformats-officedocument.spreadsheetml.revisionLog+xml"/>
  <Override PartName="/xl/revisions/revisionLog1105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252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411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13311.xml" ContentType="application/vnd.openxmlformats-officedocument.spreadsheetml.revisionLog+xml"/>
  <Override PartName="/xl/revisions/revisionLog1101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712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7121.xml" ContentType="application/vnd.openxmlformats-officedocument.spreadsheetml.revisionLog+xml"/>
  <Override PartName="/xl/revisions/revisionLog120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192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41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183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39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1921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411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4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10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02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15131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154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3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10131.xml" ContentType="application/vnd.openxmlformats-officedocument.spreadsheetml.revisionLog+xml"/>
  <Override PartName="/xl/revisions/revisionLog136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1513.xml" ContentType="application/vnd.openxmlformats-officedocument.spreadsheetml.revisionLog+xml"/>
  <Override PartName="/xl/revisions/revisionLog110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state="hidden" r:id="rId22"/>
    <sheet name="Лист4" sheetId="23" state="hidden" r:id="rId23"/>
    <sheet name="Лист5" sheetId="24" state="hidden" r:id="rId24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Иль!$A$1:$F$105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Иль!$19:$24,Иль!$30:$40,Иль!$46:$46,Иль!$48:$51,Иль!$59:$59,Иль!$61:$63,Иль!$69:$70,Иль!$79:$80,Иль!$82:$82,Иль!$87:$91,Иль!$94:$101,Иль!$144:$144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район!$18:$19,район!$21:$21,район!$26:$26,район!$28:$32,район!$36:$36,район!$39:$39,район!$51:$52,район!$63:$63,район!$70:$70,район!$87:$87,район!$94:$94,район!$122:$124,район!$127:$128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Иль!$A$1:$F$105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Иль!$19:$24,Иль!$30:$31,Иль!$33:$33,Иль!$46:$46,Иль!$51:$51,Иль!$61:$62,Иль!$69:$70,Иль!$79:$80,Иль!$82:$82,Иль!$94:$98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район!$18:$19,район!$21:$21,район!$29:$31,район!$51:$52,район!#REF!,район!$63:$63,район!$70:$70,район!$87:$87,район!$94:$94,район!$122:$124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Иль!$A$1:$F$105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Иль!$19:$24,Иль!$30:$31,Иль!$33:$33,Иль!$46:$46,Иль!$51:$51,Иль!$61:$62,Иль!$69:$70,Иль!$79:$80,Иль!$82:$82,Иль!$84:$91,Иль!$94:$98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район!$18:$19,район!$21:$21,район!$29:$31,район!$51:$52,район!$63:$63,район!$70:$70,район!$87:$87,район!$94:$94,район!$122:$124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Иль!$A$1:$F$105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Иль!$19:$24,Иль!$30:$40,Иль!$46:$46,Иль!$48:$51,Иль!$59:$59,Иль!$61:$63,Иль!$69:$70,Иль!$79:$80,Иль!$82:$82,Иль!$87:$91,Иль!$94:$101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$57:$59,район!$63:$63,район!$70:$70,район!$81:$81,район!$87:$87,район!$90:$90,район!$94:$94,район!$102:$102,район!$122:$124,район!$127:$128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Иль!$A$1:$F$105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Иль!$19:$24,Иль!$30:$31,Иль!$33:$33,Иль!$46:$46,Иль!$51:$51,Иль!$61:$62,Иль!$69:$70,Иль!$79:$80,Иль!$82:$82,Иль!$94:$98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район!$18:$19,район!$21:$21,район!$29:$31,район!$51:$52,район!$63:$63,район!$70:$70,район!$87:$87,район!$94:$94,район!$122:$124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Иль!$A$1:$F$105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район!$A$1:$F$136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Але!$19:$24,Але!$28:$28,Але!$36:$36,Але!$46:$46,Але!$55:$56,Але!$63:$64,Але!$74:$75,Але!$79:$82,Але!$86:$93,Але!$142:$142</definedName>
    <definedName name="Z_61528DAC_5C4C_48F4_ADE2_8A724B05A086_.wvu.Rows" localSheetId="5" hidden="1">Иль!$19:$23,Иль!$34:$34,Иль!$40:$40,Иль!$59:$59,Иль!$61:$62,Иль!$69:$70,Иль!$79:$80,Иль!$82:$82,Иль!$87:$91,Иль!$94:$101,Иль!$144:$144</definedName>
    <definedName name="Z_61528DAC_5C4C_48F4_ADE2_8A724B05A086_.wvu.Rows" localSheetId="6" hidden="1">Кад!$19:$24,Кад!$31:$35,Кад!$38:$38,Кад!$44:$44,Кад!$48:$48,Кад!$56:$56,Кад!$58:$59,Кад!$66:$67,Кад!$77:$78,Кад!$82:$86,Кад!$89:$96,Кад!$142:$142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Мор!$17:$24,Мор!$27:$27,Мор!$31:$33,Мор!$44:$44,Мор!$47:$47,Мор!$49:$49,Мор!$57:$57,Мор!$59:$60,Мор!$64:$65,Мор!$67:$68,Мор!$78:$79,Мор!$83:$88,Мор!$91:$97,Мор!$142:$142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Ори!$19:$24,Ори!$31:$35,Ори!$44:$44,Ори!$48:$50,Ори!$57:$57,Ори!$59:$60,Ори!$67:$68,Ори!$78:$79,Ори!$81:$81,Ори!$84:$88,Ори!$91:$98,Ори!$142:$142</definedName>
    <definedName name="Z_61528DAC_5C4C_48F4_ADE2_8A724B05A086_.wvu.Rows" localSheetId="4" hidden="1">Сун!$19:$24,Сун!$33:$34,Сун!$45:$45,Сун!$49:$51,Сун!$58:$58,Сун!$60:$61,Сун!$68:$69,Сун!$79:$80,Сун!$82:$82,Сун!$85:$85,Сун!$87:$89,Сун!$93:$100,Сун!$142:$142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Сят!$19:$24,Сят!$31:$33,Сят!$38:$38,Сят!$45:$47,Сят!$57:$57,Сят!$59:$60,Сят!$67:$68,Сят!$78:$79,Сят!$83:$87,Сят!$90:$97,Сят!$143:$143</definedName>
    <definedName name="Z_61528DAC_5C4C_48F4_ADE2_8A724B05A086_.wvu.Rows" localSheetId="11" hidden="1">Тор!$19:$24,Тор!$32:$34,Тор!$39:$39,Тор!$46:$50,Тор!$57:$57,Тор!$59:$60,Тор!$67:$68,Тор!$75:$75,Тор!$79:$80,Тор!$86:$95,Тор!$142:$142</definedName>
    <definedName name="Z_61528DAC_5C4C_48F4_ADE2_8A724B05A086_.wvu.Rows" localSheetId="12" hidden="1">Хор!$19:$24,Хор!$28:$35,Хор!$40:$40,Хор!$46:$48,Хор!$55:$55,Хор!$57:$58,Хор!$65:$66,Хор!$76:$77,Хор!$81:$85,Хор!$88:$95,Хор!$142:$142</definedName>
    <definedName name="Z_61528DAC_5C4C_48F4_ADE2_8A724B05A086_.wvu.Rows" localSheetId="13" hidden="1">Чум!$19:$24,Чум!$31:$36,Чум!$46:$50,Чум!$57:$57,Чум!$59:$60,Чум!$67:$68,Чум!$78:$79,Чум!$83:$87,Чум!$90:$97,Чум!$142:$142</definedName>
    <definedName name="Z_61528DAC_5C4C_48F4_ADE2_8A724B05A086_.wvu.Rows" localSheetId="14" hidden="1">Шать!$19:$25,Шать!$31:$33,Шать!$46:$47,Шать!$57:$57,Шать!$59:$60,Шать!$67:$68,Шать!$78:$79,Шать!$84:$86,Шать!$90:$97,Шать!$142:$142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Юнг!$19:$24,Юнг!$38:$38,Юнг!$46:$46,Юнг!$56:$56,Юнг!$58:$59,Юнг!$66:$67,Юнг!$77:$78,Юнг!$82:$86,Юнг!$89:$96,Юнг!$142:$142</definedName>
    <definedName name="Z_61528DAC_5C4C_48F4_ADE2_8A724B05A086_.wvu.Rows" localSheetId="16" hidden="1">Юсь!$19:$24,Юсь!$36:$36,Юсь!$44:$49,Юсь!$58:$58,Юсь!$60:$61,Юсь!$68:$69,Юсь!$79:$80,Юсь!$84:$88,Юсь!$91:$98,Юсь!$142:$142</definedName>
    <definedName name="Z_61528DAC_5C4C_48F4_ADE2_8A724B05A086_.wvu.Rows" localSheetId="17" hidden="1">Яра!$19:$24,Яра!$28:$29,Яра!$33:$33,Яра!$46:$46,Яра!$58:$58,Яра!$60:$61,Яра!$68:$69,Яра!$79:$80,Яра!$84:$88,Яра!$91:$98,Яра!$143:$143</definedName>
    <definedName name="Z_61528DAC_5C4C_48F4_ADE2_8A724B05A086_.wvu.Rows" localSheetId="18" hidden="1">Яро!$19:$24,Яро!$28:$28,Яро!$43:$43,Яро!$46:$47,Яро!$54:$54,Яро!$56:$57,Яро!$64:$65,Яро!$75:$75,Яро!$82:$84,Яро!$87:$90,Яро!$92:$94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Иль!$A$1:$F$105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Иль!$19:$24,Иль!$30:$40,Иль!$46:$46,Иль!$48:$51,Иль!$59:$59,Иль!$61:$63,Иль!$69:$70,Иль!$79:$80,Иль!$82:$82,Иль!$87:$91,Иль!$94:$101,Иль!$144:$144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район!$18:$19,район!$21:$21,район!$26:$26,район!$28:$32,район!$36:$36,район!$39:$39,район!$51:$52,район!#REF!,район!$63:$63,район!$70:$70,район!$87:$87,район!$94:$94,район!$122:$124,район!$127:$128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Иль!$A$1:$F$105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2" hidden="1">район!$A$1:$F$136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Иль!$19:$24,Иль!$34:$34,Иль!$39:$40,Иль!$49:$51,Иль!$59:$59,Иль!$61:$63,Иль!$69:$70,Иль!$79:$80,Иль!$82:$82,Иль!$87:$91,Иль!$94:$101,Иль!$144:$144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район!$28:$32,район!$51:$51,район!$70:$70,район!$94:$94,район!$122:$124,район!$127:$128</definedName>
    <definedName name="Z_B30CE22D_C12F_4E12_8BB9_3AAE0A6991CC_.wvu.Rows" localSheetId="4" hidden="1">Сун!$19:$24,Сун!$34:$36,Сун!$39:$39,Сун!$49:$51,Сун!$54:$54,Сун!$58:$58,Сун!$60:$62,Сун!$68:$69,Сун!$79:$80,Сун!$82:$82,Сун!$85:$85,Сун!$87:$90,Сун!$93:$100,Сун!$142:$142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Тор!$19:$24,Тор!$32:$36,Тор!$39:$39,Тор!$48:$48,Тор!$50:$50,Тор!$57:$57,Тор!$59:$60,Тор!$67:$68,Тор!$75:$75,Тор!$79:$80,Тор!$85:$87,Тор!$89:$95,Тор!$142:$142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Шать!$19:$25,Шать!$31:$33,Шать!$48:$49,Шать!$57:$57,Шать!$59:$60,Шать!$67:$68,Шать!$78:$79,Шать!$84:$86,Шать!$90:$97,Шать!$142:$142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Юсь!$19:$24,Юсь!$31:$33,Юсь!$36:$36,Юсь!$44:$49,Юсь!$58:$58,Юсь!$60:$61,Юсь!$68:$69,Юсь!$79:$80,Юсь!$84:$88,Юсь!$91:$98,Юсь!$142:$142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Яро!$19:$24,Яро!$28:$28,Яро!$36:$36,Яро!$43:$43,Яро!$54:$54,Яро!$56:$57,Яро!$64:$65,Яро!$75:$75,Яро!$80:$84,Яро!$87:$90,Яро!$92:$94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Иль!$A$1:$F$105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Иль!$19:$24,Иль!$33:$33,Иль!$46:$46,Иль!$51:$51,Иль!$61:$62,Иль!$69:$70,Иль!$79:$80,Иль!$82:$82,Иль!$94:$98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район!$18:$19,район!$21:$21,район!$29:$31,район!$51:$52,район!$63:$63,район!$70:$70,район!$87:$87,район!$94:$94,район!$122:$124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Юсь!$20:$24,Юсь!$40:$40,Юсь!$44:$49,Юсь!$68:$69,Юсь!$84:$88,Юсь!$91:$98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Иль!$A$1:$F$105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район!$A$1:$F$136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3">Чум!$A$1:$F$101</definedName>
    <definedName name="_xlnm.Print_Area" localSheetId="15">Юнг!$A$1:$F$100</definedName>
    <definedName name="_xlnm.Print_Area" localSheetId="16">Юсь!$A$1:$F$102</definedName>
    <definedName name="_xlnm.Print_Area" localSheetId="17">Яра!$A$1:$F$102</definedName>
  </definedNames>
  <calcPr calcId="125725"/>
  <customWorkbookViews>
    <customWorkbookView name="morgau_fin2 - Личное представление" guid="{B30CE22D-C12F-4E12-8BB9-3AAE0A6991CC}" mergeInterval="0" personalView="1" maximized="1" xWindow="1" yWindow="1" windowWidth="851" windowHeight="836" tabRatio="695" activeSheetId="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  <customWorkbookView name="morgau_fin3 - Личное представление" guid="{61528DAC-5C4C-48F4-ADE2-8A724B05A086}" mergeInterval="0" personalView="1" maximized="1" xWindow="1" yWindow="1" windowWidth="1916" windowHeight="850" tabRatio="695" activeSheetId="2"/>
  </customWorkbookViews>
</workbook>
</file>

<file path=xl/calcChain.xml><?xml version="1.0" encoding="utf-8"?>
<calcChain xmlns="http://schemas.openxmlformats.org/spreadsheetml/2006/main">
  <c r="D61" i="3"/>
  <c r="C41" i="19"/>
  <c r="C44" i="18"/>
  <c r="C42" i="17"/>
  <c r="C43" i="16"/>
  <c r="C44" i="15"/>
  <c r="C44" i="14"/>
  <c r="C42" i="13"/>
  <c r="C44" i="12"/>
  <c r="C43" i="11"/>
  <c r="C43" i="10"/>
  <c r="C43" i="9"/>
  <c r="C43" i="8"/>
  <c r="C43" i="7"/>
  <c r="C45" i="6"/>
  <c r="C44" i="5"/>
  <c r="C41" i="4"/>
  <c r="C38" s="1"/>
  <c r="CS19" i="2"/>
  <c r="E96" i="3"/>
  <c r="F96"/>
  <c r="E70"/>
  <c r="E46" i="19"/>
  <c r="D40" i="9"/>
  <c r="E47"/>
  <c r="F47"/>
  <c r="D53" i="3"/>
  <c r="C53"/>
  <c r="D12"/>
  <c r="C12"/>
  <c r="F13"/>
  <c r="E13"/>
  <c r="C41" i="5"/>
  <c r="D41"/>
  <c r="C7" i="4"/>
  <c r="C12"/>
  <c r="C14"/>
  <c r="C17"/>
  <c r="C26"/>
  <c r="C29"/>
  <c r="C31"/>
  <c r="D5"/>
  <c r="D7"/>
  <c r="D12"/>
  <c r="D14"/>
  <c r="D17"/>
  <c r="D20"/>
  <c r="D26"/>
  <c r="D29"/>
  <c r="D31"/>
  <c r="D34"/>
  <c r="D38"/>
  <c r="C60"/>
  <c r="C62"/>
  <c r="C68"/>
  <c r="C73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3" i="19"/>
  <c r="D31"/>
  <c r="C31"/>
  <c r="BE29" i="2" s="1"/>
  <c r="E45" i="19"/>
  <c r="D67" i="5"/>
  <c r="C76" i="3"/>
  <c r="CG19" i="2"/>
  <c r="CF19"/>
  <c r="CG17"/>
  <c r="CF17"/>
  <c r="CD17"/>
  <c r="CC17"/>
  <c r="D67" i="17"/>
  <c r="D65" i="16"/>
  <c r="D66" i="14"/>
  <c r="D64" i="13"/>
  <c r="D66" i="10"/>
  <c r="D66" i="8"/>
  <c r="D65" i="7"/>
  <c r="D34" i="3"/>
  <c r="C57" i="17"/>
  <c r="AZ15" i="2"/>
  <c r="D40" i="7"/>
  <c r="C61" i="3"/>
  <c r="D53" i="19"/>
  <c r="CM14" i="2"/>
  <c r="D38" i="13"/>
  <c r="BP23" i="2"/>
  <c r="BP27"/>
  <c r="BP14"/>
  <c r="D82" i="18"/>
  <c r="D92" i="3"/>
  <c r="C92"/>
  <c r="F93"/>
  <c r="E93"/>
  <c r="CO17" i="2"/>
  <c r="CO14"/>
  <c r="F132" i="3"/>
  <c r="E132"/>
  <c r="F131"/>
  <c r="E131"/>
  <c r="F130"/>
  <c r="E130"/>
  <c r="D129"/>
  <c r="C129"/>
  <c r="F128"/>
  <c r="C127"/>
  <c r="F127" s="1"/>
  <c r="F126"/>
  <c r="E126"/>
  <c r="D125"/>
  <c r="C125"/>
  <c r="E124"/>
  <c r="E123"/>
  <c r="E122"/>
  <c r="F121"/>
  <c r="E121"/>
  <c r="F120"/>
  <c r="E120"/>
  <c r="D119"/>
  <c r="C119"/>
  <c r="F118"/>
  <c r="E118"/>
  <c r="F117"/>
  <c r="E117"/>
  <c r="F116"/>
  <c r="E116"/>
  <c r="F115"/>
  <c r="E115"/>
  <c r="D114"/>
  <c r="C114"/>
  <c r="F113"/>
  <c r="E113"/>
  <c r="F112"/>
  <c r="E112"/>
  <c r="D111"/>
  <c r="C111"/>
  <c r="F110"/>
  <c r="E110"/>
  <c r="F109"/>
  <c r="E109"/>
  <c r="F108"/>
  <c r="E108"/>
  <c r="F107"/>
  <c r="E107"/>
  <c r="F106"/>
  <c r="E106"/>
  <c r="D105"/>
  <c r="C105"/>
  <c r="F104"/>
  <c r="E104"/>
  <c r="D103"/>
  <c r="C103"/>
  <c r="F102"/>
  <c r="E102"/>
  <c r="F101"/>
  <c r="E101"/>
  <c r="F100"/>
  <c r="E100"/>
  <c r="D99"/>
  <c r="C99"/>
  <c r="F98"/>
  <c r="E98"/>
  <c r="F97"/>
  <c r="E97"/>
  <c r="F95"/>
  <c r="E95"/>
  <c r="F94"/>
  <c r="E94"/>
  <c r="F91"/>
  <c r="E91"/>
  <c r="F90"/>
  <c r="E90"/>
  <c r="F89"/>
  <c r="E89"/>
  <c r="F88"/>
  <c r="E88"/>
  <c r="F87"/>
  <c r="E87"/>
  <c r="D86"/>
  <c r="C86"/>
  <c r="F85"/>
  <c r="E85"/>
  <c r="D84"/>
  <c r="C84"/>
  <c r="F83"/>
  <c r="E83"/>
  <c r="F82"/>
  <c r="E82"/>
  <c r="F81"/>
  <c r="E81"/>
  <c r="F80"/>
  <c r="E80"/>
  <c r="F79"/>
  <c r="E79"/>
  <c r="F78"/>
  <c r="E78"/>
  <c r="F77"/>
  <c r="E77"/>
  <c r="D76"/>
  <c r="F70"/>
  <c r="F69"/>
  <c r="E69"/>
  <c r="F68"/>
  <c r="E68"/>
  <c r="F67"/>
  <c r="E67"/>
  <c r="F66"/>
  <c r="E66"/>
  <c r="F65"/>
  <c r="E65"/>
  <c r="F64"/>
  <c r="E64"/>
  <c r="F63"/>
  <c r="E63"/>
  <c r="F62"/>
  <c r="E62"/>
  <c r="F59"/>
  <c r="E59"/>
  <c r="F58"/>
  <c r="E58"/>
  <c r="D57"/>
  <c r="C57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CR19" i="2"/>
  <c r="AB28"/>
  <c r="AZ17"/>
  <c r="AZ19"/>
  <c r="AZ20"/>
  <c r="AZ21"/>
  <c r="AZ24"/>
  <c r="AZ26"/>
  <c r="AZ27"/>
  <c r="AZ28"/>
  <c r="C67" i="5"/>
  <c r="C66" i="8"/>
  <c r="F71"/>
  <c r="E71"/>
  <c r="DF33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3" i="19"/>
  <c r="D26"/>
  <c r="BE28" i="2"/>
  <c r="D71" i="7"/>
  <c r="D83" i="9"/>
  <c r="D26" i="6"/>
  <c r="E44" i="14"/>
  <c r="F41" i="5" l="1"/>
  <c r="E41"/>
  <c r="D25" i="4"/>
  <c r="C25"/>
  <c r="CQ17" i="2"/>
  <c r="CQ14"/>
  <c r="E103" i="3"/>
  <c r="E129"/>
  <c r="F119"/>
  <c r="E24"/>
  <c r="F125"/>
  <c r="F7"/>
  <c r="F24"/>
  <c r="E43"/>
  <c r="E45"/>
  <c r="E76"/>
  <c r="F12"/>
  <c r="E7"/>
  <c r="E84"/>
  <c r="F86"/>
  <c r="F111"/>
  <c r="C4"/>
  <c r="E12"/>
  <c r="E53"/>
  <c r="F61"/>
  <c r="F76"/>
  <c r="F92"/>
  <c r="E119"/>
  <c r="E99"/>
  <c r="F103"/>
  <c r="D4"/>
  <c r="E48"/>
  <c r="F57"/>
  <c r="F114"/>
  <c r="E105"/>
  <c r="C33"/>
  <c r="F51"/>
  <c r="E28"/>
  <c r="E17"/>
  <c r="E5"/>
  <c r="E22"/>
  <c r="E34"/>
  <c r="F45"/>
  <c r="F48"/>
  <c r="F99"/>
  <c r="E125"/>
  <c r="E51"/>
  <c r="F53"/>
  <c r="E57"/>
  <c r="E86"/>
  <c r="E92"/>
  <c r="E111"/>
  <c r="E114"/>
  <c r="C133"/>
  <c r="F105"/>
  <c r="E61"/>
  <c r="D33"/>
  <c r="F84"/>
  <c r="F5"/>
  <c r="F17"/>
  <c r="F22"/>
  <c r="F28"/>
  <c r="F34"/>
  <c r="F43"/>
  <c r="F129"/>
  <c r="D133"/>
  <c r="D40" i="16"/>
  <c r="D60" i="3" l="1"/>
  <c r="D71" s="1"/>
  <c r="F4"/>
  <c r="E4"/>
  <c r="C60"/>
  <c r="C71" s="1"/>
  <c r="F133"/>
  <c r="E133"/>
  <c r="E33"/>
  <c r="F33"/>
  <c r="D34" i="15"/>
  <c r="D36" i="7"/>
  <c r="D66" i="12"/>
  <c r="D34" i="11"/>
  <c r="D26"/>
  <c r="D14"/>
  <c r="CV26" i="2"/>
  <c r="AT18"/>
  <c r="AQ18"/>
  <c r="E71" i="3" l="1"/>
  <c r="H71"/>
  <c r="C72"/>
  <c r="F60"/>
  <c r="E60"/>
  <c r="D72"/>
  <c r="F71" s="1"/>
  <c r="C34" i="11"/>
  <c r="BN21" i="2" s="1"/>
  <c r="C82" i="12"/>
  <c r="C38" i="17"/>
  <c r="D12" i="19"/>
  <c r="D67" i="18" l="1"/>
  <c r="E42" i="13"/>
  <c r="D82" i="12"/>
  <c r="D64"/>
  <c r="D68" i="6"/>
  <c r="C68"/>
  <c r="E73"/>
  <c r="F73"/>
  <c r="G32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2" i="6"/>
  <c r="C42"/>
  <c r="CS16" i="2"/>
  <c r="CR16"/>
  <c r="BQ14"/>
  <c r="E52" i="6"/>
  <c r="F52"/>
  <c r="BR14" i="2"/>
  <c r="CV22"/>
  <c r="CV21"/>
  <c r="D41" i="12"/>
  <c r="E49"/>
  <c r="F49"/>
  <c r="D40" i="11"/>
  <c r="CS23" i="2" l="1"/>
  <c r="CS18"/>
  <c r="CS14" l="1"/>
  <c r="D40" i="10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E48"/>
  <c r="F48"/>
  <c r="E48" i="12"/>
  <c r="F48"/>
  <c r="C41" i="15"/>
  <c r="F41" s="1"/>
  <c r="E42"/>
  <c r="C38" i="13"/>
  <c r="C41" i="12"/>
  <c r="F41" i="10"/>
  <c r="E44"/>
  <c r="F44"/>
  <c r="E44" i="9"/>
  <c r="F44"/>
  <c r="E44" i="8"/>
  <c r="F44"/>
  <c r="E44" i="7"/>
  <c r="F44"/>
  <c r="E46" i="6"/>
  <c r="F46"/>
  <c r="E47"/>
  <c r="F47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59" i="6"/>
  <c r="F59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5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78" i="17"/>
  <c r="EI27" i="2" s="1"/>
  <c r="D78" i="12"/>
  <c r="D73" i="9"/>
  <c r="G12" i="1"/>
  <c r="C89" i="17"/>
  <c r="EQ27" i="2" s="1"/>
  <c r="DP14"/>
  <c r="D26" i="17"/>
  <c r="D32" i="18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6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79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8"/>
  <c r="D58"/>
  <c r="E60"/>
  <c r="F60"/>
  <c r="F61"/>
  <c r="E62"/>
  <c r="F62"/>
  <c r="E63"/>
  <c r="F63"/>
  <c r="E64"/>
  <c r="F64"/>
  <c r="E65"/>
  <c r="F65"/>
  <c r="C66"/>
  <c r="E67"/>
  <c r="F67"/>
  <c r="EB16" i="2"/>
  <c r="E69" i="6"/>
  <c r="F69"/>
  <c r="E70"/>
  <c r="F70"/>
  <c r="E71"/>
  <c r="F71"/>
  <c r="E72"/>
  <c r="F72"/>
  <c r="D74"/>
  <c r="EF16" i="2" s="1"/>
  <c r="E75" i="6"/>
  <c r="F75"/>
  <c r="E76"/>
  <c r="F76"/>
  <c r="E78"/>
  <c r="F78"/>
  <c r="C81"/>
  <c r="D81"/>
  <c r="EI16" i="2" s="1"/>
  <c r="E82" i="6"/>
  <c r="F82"/>
  <c r="E83"/>
  <c r="F83"/>
  <c r="E84"/>
  <c r="F84"/>
  <c r="C85"/>
  <c r="EK16" i="2" s="1"/>
  <c r="D85" i="6"/>
  <c r="EL16" i="2" s="1"/>
  <c r="E86" i="6"/>
  <c r="F86"/>
  <c r="C87"/>
  <c r="EN16" i="2" s="1"/>
  <c r="D87" i="6"/>
  <c r="EO16" i="2" s="1"/>
  <c r="E88" i="6"/>
  <c r="F88"/>
  <c r="E89"/>
  <c r="F89"/>
  <c r="E90"/>
  <c r="F90"/>
  <c r="F91"/>
  <c r="C92"/>
  <c r="EQ16" i="2" s="1"/>
  <c r="D92" i="6"/>
  <c r="ER16" i="2" s="1"/>
  <c r="E93" i="6"/>
  <c r="F93"/>
  <c r="E94"/>
  <c r="F94"/>
  <c r="E95"/>
  <c r="E96"/>
  <c r="E97"/>
  <c r="C98"/>
  <c r="D98"/>
  <c r="EU16" i="2" s="1"/>
  <c r="E99" i="6"/>
  <c r="F99"/>
  <c r="E100"/>
  <c r="F100"/>
  <c r="E101"/>
  <c r="F101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4"/>
  <c r="F24"/>
  <c r="F26"/>
  <c r="C26" s="1"/>
  <c r="G26"/>
  <c r="D26" s="1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2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CQ29" i="2" l="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D25" i="16"/>
  <c r="C25"/>
  <c r="D98" i="8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8" i="12"/>
  <c r="D98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1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8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8" i="6"/>
  <c r="F87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2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1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8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E79" i="13"/>
  <c r="E20" i="12"/>
  <c r="F83" i="15"/>
  <c r="E91" i="5"/>
  <c r="F17" i="15"/>
  <c r="EU17" i="2"/>
  <c r="EV17" s="1"/>
  <c r="E85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5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6" i="6"/>
  <c r="DJ18" i="2"/>
  <c r="F17" i="19"/>
  <c r="E29" i="4"/>
  <c r="E80" i="16"/>
  <c r="E99" i="9"/>
  <c r="DJ19" i="2"/>
  <c r="F14" i="4"/>
  <c r="E77" i="15"/>
  <c r="E94"/>
  <c r="E82" i="12"/>
  <c r="E78" i="19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8" i="6"/>
  <c r="N28" i="2"/>
  <c r="D97" i="7"/>
  <c r="AI28" i="2"/>
  <c r="CN21"/>
  <c r="K14"/>
  <c r="EA28"/>
  <c r="CK21"/>
  <c r="F58" i="6"/>
  <c r="F7"/>
  <c r="DM31" i="2"/>
  <c r="DM33" s="1"/>
  <c r="CE26"/>
  <c r="CA26"/>
  <c r="CA29"/>
  <c r="CA28"/>
  <c r="CA27"/>
  <c r="CO31"/>
  <c r="CO33" s="1"/>
  <c r="CA24"/>
  <c r="CA23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8" i="6"/>
  <c r="E55" i="7"/>
  <c r="F55"/>
  <c r="F38" i="19"/>
  <c r="EA17" i="2"/>
  <c r="F14" i="5"/>
  <c r="EV19" i="2"/>
  <c r="E26" i="9"/>
  <c r="E31" i="10"/>
  <c r="F5"/>
  <c r="E75" i="13"/>
  <c r="F92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6" i="17"/>
  <c r="F34"/>
  <c r="E72" i="12"/>
  <c r="AC26" i="2"/>
  <c r="DU24"/>
  <c r="CH24"/>
  <c r="AO19"/>
  <c r="N19"/>
  <c r="DU18"/>
  <c r="E87" i="6"/>
  <c r="F17" i="9"/>
  <c r="F82" i="10"/>
  <c r="E5"/>
  <c r="E86" i="13"/>
  <c r="F82" i="16"/>
  <c r="G24" i="2"/>
  <c r="E9" i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6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2" i="6"/>
  <c r="F93" i="9"/>
  <c r="E89" i="10"/>
  <c r="EV23" i="2"/>
  <c r="F65" i="5"/>
  <c r="E32" i="18"/>
  <c r="CK18" i="2"/>
  <c r="G13" i="1"/>
  <c r="BF14" i="2"/>
  <c r="E31" i="4"/>
  <c r="E5" i="5"/>
  <c r="F5"/>
  <c r="ET16" i="2"/>
  <c r="E98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5" i="1"/>
  <c r="E12" i="11"/>
  <c r="F12"/>
  <c r="EE15" i="2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7" i="6"/>
  <c r="C74"/>
  <c r="F77"/>
  <c r="E73" i="7"/>
  <c r="F73"/>
  <c r="F79"/>
  <c r="C76"/>
  <c r="CR31" i="2"/>
  <c r="CR33" s="1"/>
  <c r="CT19"/>
  <c r="F73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99" i="17"/>
  <c r="BP15" i="2"/>
  <c r="D37" i="19"/>
  <c r="D48" s="1"/>
  <c r="D49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3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2" i="6"/>
  <c r="E74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25" s="1"/>
  <c r="CT31" i="2"/>
  <c r="E38" i="4"/>
  <c r="F38"/>
  <c r="EJ26" i="2"/>
  <c r="DH26"/>
  <c r="BS25"/>
  <c r="EV20"/>
  <c r="EU31"/>
  <c r="BB32"/>
  <c r="BB33" s="1"/>
  <c r="BD31"/>
  <c r="F74" i="6"/>
  <c r="F82" i="17"/>
  <c r="DH23" i="2"/>
  <c r="DH18"/>
  <c r="DL21"/>
  <c r="CB22"/>
  <c r="CA31"/>
  <c r="CA33" s="1"/>
  <c r="BJ32"/>
  <c r="BJ33" s="1"/>
  <c r="DX31"/>
  <c r="DH27"/>
  <c r="DL27"/>
  <c r="J12" i="1"/>
  <c r="D12" s="1"/>
  <c r="AI31" i="2"/>
  <c r="DJ31"/>
  <c r="DJ33" s="1"/>
  <c r="C50" i="13" l="1"/>
  <c r="C52" i="12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3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4" i="6"/>
  <c r="BP31" i="2"/>
  <c r="H16"/>
  <c r="DI14"/>
  <c r="EW19"/>
  <c r="EA31"/>
  <c r="DG21"/>
  <c r="DI21" s="1"/>
  <c r="EW14"/>
  <c r="EW22"/>
  <c r="C51" i="7"/>
  <c r="F102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29" i="1"/>
  <c r="D29" s="1"/>
  <c r="D51" i="16"/>
  <c r="K10" i="1"/>
  <c r="H14"/>
  <c r="AR31" i="2"/>
  <c r="H29"/>
  <c r="EX24"/>
  <c r="E29"/>
  <c r="EX18"/>
  <c r="I37" i="1"/>
  <c r="E39" i="11"/>
  <c r="E102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D15" s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J33"/>
  <c r="F98" i="15"/>
  <c r="E98"/>
  <c r="F99" i="18"/>
  <c r="E99"/>
  <c r="D17" i="2"/>
  <c r="H17"/>
  <c r="ET33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C17" s="1"/>
  <c r="J32"/>
  <c r="I31"/>
  <c r="C31" s="1"/>
  <c r="EG25" i="2"/>
  <c r="DG25"/>
  <c r="DI25" s="1"/>
  <c r="J18" i="1"/>
  <c r="D18" s="1"/>
  <c r="BG31" i="2"/>
  <c r="E41" i="6"/>
  <c r="F41"/>
  <c r="D53"/>
  <c r="E15" i="2"/>
  <c r="EX15"/>
  <c r="E98" i="11"/>
  <c r="F98"/>
  <c r="EG24" i="2"/>
  <c r="DG24"/>
  <c r="DI19"/>
  <c r="F99" i="10"/>
  <c r="G23" i="1"/>
  <c r="G27" s="1"/>
  <c r="E5"/>
  <c r="DI18" i="2"/>
  <c r="EH31"/>
  <c r="EH33" s="1"/>
  <c r="C52" i="11"/>
  <c r="E51"/>
  <c r="J41" i="1"/>
  <c r="EU33" i="2"/>
  <c r="EV31"/>
  <c r="EX26"/>
  <c r="F39" i="8"/>
  <c r="D51"/>
  <c r="G51" s="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E40"/>
  <c r="E99" i="17"/>
  <c r="H25" i="2"/>
  <c r="C25"/>
  <c r="K25" i="1"/>
  <c r="E25"/>
  <c r="EJ29" i="2"/>
  <c r="DG29"/>
  <c r="F40" i="14"/>
  <c r="D51"/>
  <c r="E40"/>
  <c r="D52" i="17"/>
  <c r="E37"/>
  <c r="F37"/>
  <c r="H14" i="2"/>
  <c r="G31"/>
  <c r="G33" s="1"/>
  <c r="D14"/>
  <c r="EW15"/>
  <c r="DI15"/>
  <c r="C51" i="10"/>
  <c r="F39"/>
  <c r="E39"/>
  <c r="J7" i="1"/>
  <c r="Z31" i="2"/>
  <c r="F99" i="17"/>
  <c r="C52" i="14"/>
  <c r="I29" i="1"/>
  <c r="C29" s="1"/>
  <c r="EX27" i="2"/>
  <c r="DI27"/>
  <c r="K12" i="1"/>
  <c r="DH31" i="2"/>
  <c r="DH33" s="1"/>
  <c r="DL31"/>
  <c r="CB31"/>
  <c r="J24" i="1"/>
  <c r="F43" l="1"/>
  <c r="J4"/>
  <c r="K4" s="1"/>
  <c r="D7"/>
  <c r="E50" i="16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4" i="6"/>
  <c r="E51" i="15"/>
  <c r="F51"/>
  <c r="D53" i="5"/>
  <c r="E52"/>
  <c r="F52"/>
  <c r="I36" i="1"/>
  <c r="K36" s="1"/>
  <c r="K15"/>
  <c r="E15"/>
  <c r="EY15" i="2"/>
  <c r="DI26"/>
  <c r="EW21"/>
  <c r="EY21" s="1"/>
  <c r="DG31"/>
  <c r="J28" i="1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E7" i="1"/>
  <c r="K7"/>
  <c r="F51" i="8"/>
  <c r="D52"/>
  <c r="E51"/>
  <c r="E53" i="6"/>
  <c r="F53"/>
  <c r="C52" i="10"/>
  <c r="E51"/>
  <c r="F51"/>
  <c r="D53" i="17"/>
  <c r="F52"/>
  <c r="E52"/>
  <c r="EW25" i="2"/>
  <c r="EY25" s="1"/>
  <c r="E25"/>
  <c r="EW18"/>
  <c r="EY18" s="1"/>
  <c r="E18"/>
  <c r="C31"/>
  <c r="C33" s="1"/>
  <c r="H23" i="1"/>
  <c r="DI24" i="2"/>
  <c r="EW24"/>
  <c r="EY24" s="1"/>
  <c r="J14" i="1"/>
  <c r="K18"/>
  <c r="E48" i="19"/>
  <c r="C49"/>
  <c r="F48"/>
  <c r="EW16" i="2"/>
  <c r="EY16" s="1"/>
  <c r="DI16"/>
  <c r="EY26"/>
  <c r="EJ31"/>
  <c r="E12" i="1"/>
  <c r="K24"/>
  <c r="J23" l="1"/>
  <c r="DI31" i="2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J27" l="1"/>
  <c r="J43" s="1"/>
  <c r="G44" s="1"/>
  <c r="C43"/>
  <c r="D23"/>
  <c r="D27" s="1"/>
  <c r="I43"/>
  <c r="F44" s="1"/>
  <c r="F45" s="1"/>
  <c r="E14"/>
  <c r="EY31" i="2"/>
  <c r="K23" i="1"/>
  <c r="K27" l="1"/>
  <c r="E23"/>
  <c r="G45"/>
  <c r="C44"/>
  <c r="E27"/>
  <c r="D43"/>
  <c r="D44" s="1"/>
</calcChain>
</file>

<file path=xl/sharedStrings.xml><?xml version="1.0" encoding="utf-8"?>
<sst xmlns="http://schemas.openxmlformats.org/spreadsheetml/2006/main" count="2848" uniqueCount="435">
  <si>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</si>
  <si>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</si>
  <si>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</si>
  <si>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</si>
  <si>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</si>
  <si>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</si>
  <si>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</si>
  <si>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</si>
  <si>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</si>
  <si>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</si>
  <si>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</si>
  <si>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</si>
  <si>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</si>
  <si>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</si>
  <si>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</si>
  <si>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</si>
  <si>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</si>
  <si>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</si>
  <si>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</si>
  <si>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</si>
  <si>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</si>
  <si>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</si>
  <si>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</si>
  <si>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</si>
  <si>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</si>
  <si>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</si>
  <si>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</si>
  <si>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</si>
  <si>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</si>
  <si>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</si>
  <si>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</si>
  <si>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</si>
  <si>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</si>
  <si>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</si>
  <si>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</si>
  <si>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</si>
  <si>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</si>
  <si>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</si>
  <si>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</si>
  <si>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</si>
  <si>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</si>
  <si>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</si>
  <si>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</si>
  <si>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</si>
  <si>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</si>
  <si>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</si>
  <si>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</si>
  <si>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</si>
  <si>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</si>
  <si>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</si>
  <si>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</si>
  <si>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</si>
  <si>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</si>
  <si>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</si>
  <si>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</si>
  <si>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</si>
  <si>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</si>
  <si>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</si>
  <si>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</si>
  <si>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</si>
  <si>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</si>
  <si>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</si>
  <si>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</si>
  <si>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</si>
  <si>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</si>
  <si>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</si>
  <si>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</si>
  <si>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</si>
  <si>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</si>
  <si>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</si>
  <si>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</si>
  <si>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</si>
  <si>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</si>
  <si>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</si>
  <si>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</si>
  <si>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</si>
  <si>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</si>
  <si>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</si>
  <si>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</si>
  <si>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</si>
  <si>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</si>
  <si>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</si>
  <si>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</si>
  <si>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</si>
  <si>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</si>
  <si>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</si>
  <si>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</si>
  <si>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</si>
  <si>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</si>
  <si>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</si>
  <si>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</si>
  <si>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</si>
  <si>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</si>
  <si>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</si>
  <si>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</si>
  <si>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</si>
  <si>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</si>
  <si>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</si>
  <si>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</si>
  <si>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</si>
  <si>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</si>
  <si>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</si>
  <si>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</si>
  <si>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</si>
  <si>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</si>
  <si>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</si>
  <si>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</si>
  <si>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</si>
  <si>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</si>
  <si>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</si>
  <si>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</si>
  <si>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</si>
  <si>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</si>
  <si>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</si>
  <si>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</si>
  <si>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</si>
  <si>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</si>
  <si>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</si>
  <si>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</si>
  <si>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</si>
  <si>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</si>
  <si>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</si>
  <si>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</si>
  <si>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</si>
  <si>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</si>
  <si>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</si>
  <si>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</si>
  <si>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</si>
  <si>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</si>
  <si>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</si>
  <si>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</si>
  <si>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</si>
  <si>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</si>
  <si>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</si>
  <si>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</si>
  <si>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</si>
  <si>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</si>
  <si>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</si>
  <si>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</si>
  <si>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</si>
  <si>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</si>
  <si>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</si>
  <si>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</si>
  <si>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</si>
  <si>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</si>
  <si>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</si>
  <si>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</si>
  <si>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</si>
  <si>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</si>
  <si>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</si>
  <si>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</si>
  <si>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</si>
  <si>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</si>
  <si>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</si>
  <si>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</si>
  <si>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</si>
  <si>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</si>
  <si>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</si>
  <si>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</si>
  <si>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</si>
  <si>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</si>
  <si>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</si>
  <si>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</si>
  <si>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</si>
  <si>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</si>
  <si>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</si>
  <si>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</si>
  <si>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</si>
  <si>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</si>
  <si>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</si>
  <si>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</si>
  <si>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</si>
  <si>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</si>
  <si>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</si>
  <si>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</si>
  <si>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</si>
  <si>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</si>
  <si>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</si>
  <si>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</si>
  <si>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</si>
  <si>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</si>
  <si>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</si>
  <si>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</si>
  <si>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</si>
  <si>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</si>
  <si>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</si>
  <si>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</si>
  <si>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</si>
  <si>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</si>
  <si>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</si>
  <si>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</si>
  <si>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</si>
  <si>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</si>
  <si>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</si>
  <si>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</si>
  <si>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</si>
  <si>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</si>
  <si>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</si>
  <si>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</si>
  <si>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</si>
  <si>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</si>
  <si>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</si>
  <si>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</si>
  <si>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</si>
  <si>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</si>
  <si>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</si>
  <si>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</si>
  <si>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</si>
  <si>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</si>
  <si>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</si>
  <si>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</si>
  <si>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</si>
  <si>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</si>
  <si>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</si>
  <si>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</si>
  <si>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</si>
  <si>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</si>
  <si>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</si>
  <si>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</si>
  <si>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</si>
  <si>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</si>
  <si>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</si>
  <si>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</si>
  <si>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</si>
  <si>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</si>
  <si>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</si>
  <si>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</si>
  <si>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</si>
  <si>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</si>
  <si>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</si>
  <si>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</si>
  <si>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</si>
  <si>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</si>
  <si>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</si>
  <si>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</si>
  <si>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</si>
  <si>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</si>
  <si>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</si>
  <si>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</si>
  <si>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</si>
  <si>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</si>
  <si>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</si>
  <si>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</si>
  <si>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</si>
  <si>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</si>
  <si>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</si>
  <si>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</si>
  <si>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</si>
  <si>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</si>
  <si>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</si>
  <si>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</si>
  <si>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</si>
  <si>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</si>
  <si>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</si>
  <si>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</si>
  <si>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</si>
  <si>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</si>
  <si>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</si>
  <si>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</si>
  <si>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</si>
  <si>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</si>
  <si>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</si>
  <si>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</si>
  <si>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</si>
  <si>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</si>
  <si>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</si>
  <si>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</si>
  <si>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</si>
  <si>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</si>
  <si>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</si>
  <si>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</si>
  <si>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</si>
  <si>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</si>
  <si>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</si>
  <si>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</si>
  <si>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</si>
  <si>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</si>
  <si>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</si>
  <si>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</si>
  <si>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</si>
  <si>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</si>
  <si>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</si>
  <si>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</si>
  <si>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</si>
  <si>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</si>
  <si>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</si>
  <si>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</si>
  <si>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</si>
  <si>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</si>
  <si>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</si>
  <si>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</si>
  <si>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</si>
  <si>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</si>
  <si>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</si>
  <si>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</si>
  <si>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</si>
  <si>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</si>
  <si>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</si>
  <si>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</si>
  <si>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</si>
  <si>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</si>
  <si>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</si>
  <si>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</si>
  <si>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</si>
  <si>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</si>
  <si>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</si>
  <si>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</si>
  <si>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</si>
  <si>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</si>
  <si>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</si>
  <si>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</si>
  <si>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</si>
  <si>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</si>
  <si>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</si>
  <si>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</si>
  <si>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</si>
  <si>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</si>
  <si>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</si>
  <si>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</si>
  <si>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</si>
  <si>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</si>
  <si>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</si>
  <si>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</si>
  <si>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</si>
  <si>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</si>
  <si>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</si>
  <si>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</si>
  <si>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</si>
  <si>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</si>
  <si>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</si>
  <si>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</si>
  <si>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</si>
  <si>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</si>
  <si>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</si>
  <si>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</si>
  <si>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</si>
  <si>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</si>
  <si>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</si>
  <si>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</si>
  <si>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</si>
  <si>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</si>
  <si>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</si>
  <si>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</si>
  <si>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</si>
  <si>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</si>
  <si>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</si>
  <si>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</si>
  <si>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</si>
  <si>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</si>
  <si>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</si>
  <si>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</si>
  <si>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</si>
  <si>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</si>
  <si>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</si>
  <si>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</si>
  <si>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</si>
  <si>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</si>
  <si>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</si>
  <si>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</si>
  <si>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</si>
  <si>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</si>
  <si>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</si>
  <si>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</si>
  <si>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</si>
  <si>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</si>
  <si>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</si>
  <si>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</si>
  <si>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</si>
  <si>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</si>
  <si>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</si>
  <si>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</si>
  <si>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</si>
  <si>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</si>
  <si>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</si>
  <si>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</si>
  <si>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</si>
  <si>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</si>
  <si>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</si>
  <si>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</si>
  <si>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</si>
  <si>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</si>
  <si>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</si>
  <si>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</si>
  <si>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</si>
  <si>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</si>
  <si>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</si>
  <si>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</si>
  <si>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</si>
  <si>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</si>
  <si>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</si>
  <si>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</si>
  <si>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</si>
  <si>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</si>
  <si>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</si>
  <si>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</si>
  <si>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</si>
  <si>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</si>
  <si>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</si>
  <si>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</si>
  <si>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</si>
  <si>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>Доходы от реализации имущества                                          000 114 02014100000 420</t>
  </si>
  <si>
    <t>Денежные взыскания за нарушение законодательства</t>
  </si>
  <si>
    <t>назначено на 2020 г.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</si>
  <si>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</si>
  <si>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план на 2020 г.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</si>
  <si>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</si>
  <si>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</si>
  <si>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</si>
  <si>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</si>
  <si>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 xml:space="preserve">                     Анализ исполнения бюджета Александровского сельского поселения на 01.03.2020 г.</t>
  </si>
  <si>
    <t>исполнен на 01.03.2020 г.</t>
  </si>
  <si>
    <t>исполнено на 01.03.2020 г.</t>
  </si>
  <si>
    <t>исполнено на 01.03.2020 г</t>
  </si>
  <si>
    <t xml:space="preserve">                     Анализ исполнения бюджета Большесундырского сельского поселения на 01.03.2020 г.</t>
  </si>
  <si>
    <t xml:space="preserve">                     Анализ исполнения бюджета Ильинского сельского поселения на 01.03.2020 г.</t>
  </si>
  <si>
    <t xml:space="preserve">                     Анализ исполнения бюджета Кадикасинского сельского поселения на 01.03.2020 г.</t>
  </si>
  <si>
    <t xml:space="preserve">                     Анализ исполнения бюджета Моргаушского сельского поселения на 01.03.2020 г.</t>
  </si>
  <si>
    <t xml:space="preserve">                     Анализ исполнения бюджета Москакасинского сельского поселения на 01.03.2020 г.</t>
  </si>
  <si>
    <t xml:space="preserve">                     Анализ исполнения бюджета Орининского сельского поселения на 01.03.2020 г.</t>
  </si>
  <si>
    <t xml:space="preserve">                     Анализ исполнения бюджета Сятракасинского сельского поселения на 01.03.2020 г.</t>
  </si>
  <si>
    <t xml:space="preserve">                     Анализ исполнения бюджета Тораевского сельского поселения на 01.03.2020 г.</t>
  </si>
  <si>
    <t xml:space="preserve">                     Анализ исполнения бюджета Юськасинского сельского поселения на 01.03.2020 г.</t>
  </si>
  <si>
    <t>исполнено на 01.03.2020г.</t>
  </si>
  <si>
    <t xml:space="preserve">                     Анализ исполнения бюджета Хорнойского сельского поселения на 01.03.2020 г.</t>
  </si>
  <si>
    <t xml:space="preserve">                     Анализ исполнения бюджета Ярабайкасинского сельского поселения на 01.03.2020 г.</t>
  </si>
  <si>
    <t xml:space="preserve">                     Анализ исполнения бюджета Чуманкасинского сельского поселения на 01.03.2020 г.</t>
  </si>
  <si>
    <t xml:space="preserve">                     Анализ исполнения бюджета Ярославского сельского поселения на 01.03.2020 г.</t>
  </si>
  <si>
    <t xml:space="preserve">                     Анализ исполнения бюджета Шатьмапосинского сельского поселения на 01.03.2020 г.</t>
  </si>
  <si>
    <t xml:space="preserve">                     Анализ исполнения бюджета Юнгинского сельского поселения на 01.03.2020 г.</t>
  </si>
  <si>
    <t xml:space="preserve">                                                        Моргаушского района на 01.03.2020 г. </t>
  </si>
  <si>
    <t xml:space="preserve">исполнено на 01.03.2020 г. </t>
  </si>
  <si>
    <t>об исполнении бюджетов поселений  Моргаушского района  на 1 марта 2020 г.</t>
  </si>
  <si>
    <t>Анализ исполнения консолидированного бюджета Моргаушского районана 01.03.2020 г.</t>
  </si>
  <si>
    <t>% исполнения</t>
  </si>
  <si>
    <t>Заместитель главы администрации Моргаушского района -начальник финансового отдела</t>
  </si>
</sst>
</file>

<file path=xl/styles.xml><?xml version="1.0" encoding="utf-8"?>
<styleSheet xmlns="http://schemas.openxmlformats.org/spreadsheetml/2006/main">
  <numFmts count="2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-* #,##0.00000\ _₽_-;\-* #,##0.00000\ _₽_-;_-* &quot;-&quot;?????\ _₽_-;_-@_-"/>
    <numFmt numFmtId="185" formatCode="#,##0.0000"/>
  </numFmts>
  <fonts count="43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18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2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4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2" fontId="19" fillId="0" borderId="1" xfId="11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85" fontId="27" fillId="3" borderId="1" xfId="0" applyNumberFormat="1" applyFont="1" applyFill="1" applyBorder="1" applyAlignment="1">
      <alignment vertical="center" wrapText="1"/>
    </xf>
    <xf numFmtId="185" fontId="27" fillId="0" borderId="1" xfId="0" applyNumberFormat="1" applyFont="1" applyFill="1" applyBorder="1" applyAlignment="1">
      <alignment vertical="center" wrapText="1"/>
    </xf>
    <xf numFmtId="185" fontId="27" fillId="5" borderId="1" xfId="0" applyNumberFormat="1" applyFont="1" applyFill="1" applyBorder="1" applyAlignment="1">
      <alignment vertical="center" wrapText="1"/>
    </xf>
    <xf numFmtId="185" fontId="31" fillId="3" borderId="1" xfId="0" applyNumberFormat="1" applyFont="1" applyFill="1" applyBorder="1" applyAlignment="1">
      <alignment vertical="center" wrapText="1"/>
    </xf>
    <xf numFmtId="166" fontId="41" fillId="3" borderId="1" xfId="0" applyNumberFormat="1" applyFont="1" applyFill="1" applyBorder="1" applyAlignment="1">
      <alignment horizontal="center" vertical="center" wrapText="1"/>
    </xf>
    <xf numFmtId="166" fontId="18" fillId="3" borderId="1" xfId="1" applyNumberFormat="1" applyFont="1" applyFill="1" applyBorder="1" applyAlignment="1">
      <alignment horizontal="right" vertical="center"/>
    </xf>
    <xf numFmtId="179" fontId="27" fillId="5" borderId="1" xfId="0" applyNumberFormat="1" applyFont="1" applyFill="1" applyBorder="1" applyAlignment="1">
      <alignment vertical="center" wrapText="1"/>
    </xf>
    <xf numFmtId="179" fontId="27" fillId="0" borderId="1" xfId="0" applyNumberFormat="1" applyFont="1" applyFill="1" applyBorder="1" applyAlignment="1">
      <alignment vertical="center" wrapText="1"/>
    </xf>
    <xf numFmtId="166" fontId="42" fillId="5" borderId="1" xfId="0" applyNumberFormat="1" applyFont="1" applyFill="1" applyBorder="1" applyAlignment="1">
      <alignment horizontal="center" vertical="center" wrapText="1"/>
    </xf>
    <xf numFmtId="166" fontId="18" fillId="5" borderId="1" xfId="12" applyNumberFormat="1" applyFont="1" applyFill="1" applyBorder="1" applyAlignment="1">
      <alignment horizontal="right" vertical="center"/>
    </xf>
    <xf numFmtId="0" fontId="18" fillId="0" borderId="1" xfId="11" applyNumberFormat="1" applyFont="1" applyBorder="1" applyAlignment="1">
      <alignment horizontal="center"/>
    </xf>
    <xf numFmtId="166" fontId="3" fillId="3" borderId="8" xfId="12" applyNumberFormat="1" applyFont="1" applyFill="1" applyBorder="1" applyAlignment="1">
      <alignment horizontal="right" vertical="center"/>
    </xf>
    <xf numFmtId="166" fontId="3" fillId="5" borderId="1" xfId="12" applyNumberFormat="1" applyFont="1" applyFill="1" applyBorder="1" applyAlignment="1">
      <alignment horizontal="right" vertical="center"/>
    </xf>
    <xf numFmtId="166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69" fontId="3" fillId="3" borderId="1" xfId="12" applyNumberFormat="1" applyFont="1" applyFill="1" applyBorder="1" applyAlignment="1">
      <alignment horizontal="right" vertical="center"/>
    </xf>
    <xf numFmtId="167" fontId="3" fillId="5" borderId="1" xfId="11" applyNumberFormat="1" applyFont="1" applyFill="1" applyBorder="1" applyAlignment="1">
      <alignment horizontal="right" vertical="center"/>
    </xf>
    <xf numFmtId="167" fontId="3" fillId="5" borderId="1" xfId="12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80" Type="http://schemas.openxmlformats.org/officeDocument/2006/relationships/revisionLog" Target="revisionLog11.xml"/><Relationship Id="rId485" Type="http://schemas.openxmlformats.org/officeDocument/2006/relationships/revisionLog" Target="revisionLog12.xml"/><Relationship Id="rId515" Type="http://schemas.openxmlformats.org/officeDocument/2006/relationships/revisionLog" Target="revisionLog13.xml"/><Relationship Id="rId536" Type="http://schemas.openxmlformats.org/officeDocument/2006/relationships/revisionLog" Target="revisionLog14.xml"/><Relationship Id="rId366" Type="http://schemas.openxmlformats.org/officeDocument/2006/relationships/revisionLog" Target="revisionLog111.xml"/><Relationship Id="rId387" Type="http://schemas.openxmlformats.org/officeDocument/2006/relationships/revisionLog" Target="revisionLog121.xml"/><Relationship Id="rId510" Type="http://schemas.openxmlformats.org/officeDocument/2006/relationships/revisionLog" Target="revisionLog131.xml"/><Relationship Id="rId531" Type="http://schemas.openxmlformats.org/officeDocument/2006/relationships/revisionLog" Target="revisionLog141.xml"/><Relationship Id="rId382" Type="http://schemas.openxmlformats.org/officeDocument/2006/relationships/revisionLog" Target="revisionLog1211.xml"/><Relationship Id="rId412" Type="http://schemas.openxmlformats.org/officeDocument/2006/relationships/revisionLog" Target="revisionLog1411.xml"/><Relationship Id="rId417" Type="http://schemas.openxmlformats.org/officeDocument/2006/relationships/revisionLog" Target="revisionLog15.xml"/><Relationship Id="rId433" Type="http://schemas.openxmlformats.org/officeDocument/2006/relationships/revisionLog" Target="revisionLog18.xml"/><Relationship Id="rId438" Type="http://schemas.openxmlformats.org/officeDocument/2006/relationships/revisionLog" Target="revisionLog19.xml"/><Relationship Id="rId459" Type="http://schemas.openxmlformats.org/officeDocument/2006/relationships/revisionLog" Target="revisionLog112.xml"/><Relationship Id="rId454" Type="http://schemas.openxmlformats.org/officeDocument/2006/relationships/revisionLog" Target="revisionLog1121.xml"/><Relationship Id="rId470" Type="http://schemas.openxmlformats.org/officeDocument/2006/relationships/revisionLog" Target="revisionLog1311.xml"/><Relationship Id="rId475" Type="http://schemas.openxmlformats.org/officeDocument/2006/relationships/revisionLog" Target="revisionLog16.xml"/><Relationship Id="rId491" Type="http://schemas.openxmlformats.org/officeDocument/2006/relationships/revisionLog" Target="revisionLog17.xml"/><Relationship Id="rId496" Type="http://schemas.openxmlformats.org/officeDocument/2006/relationships/revisionLog" Target="revisionLog110.xml"/><Relationship Id="rId505" Type="http://schemas.openxmlformats.org/officeDocument/2006/relationships/revisionLog" Target="revisionLog113.xml"/><Relationship Id="rId526" Type="http://schemas.openxmlformats.org/officeDocument/2006/relationships/revisionLog" Target="revisionLog114.xml"/><Relationship Id="rId377" Type="http://schemas.openxmlformats.org/officeDocument/2006/relationships/revisionLog" Target="revisionLog181.xml"/><Relationship Id="rId398" Type="http://schemas.openxmlformats.org/officeDocument/2006/relationships/revisionLog" Target="revisionLog11011.xml"/><Relationship Id="rId500" Type="http://schemas.openxmlformats.org/officeDocument/2006/relationships/revisionLog" Target="revisionLog1131.xml"/><Relationship Id="rId521" Type="http://schemas.openxmlformats.org/officeDocument/2006/relationships/revisionLog" Target="revisionLog1141.xml"/><Relationship Id="rId372" Type="http://schemas.openxmlformats.org/officeDocument/2006/relationships/revisionLog" Target="revisionLog1811.xml"/><Relationship Id="rId393" Type="http://schemas.openxmlformats.org/officeDocument/2006/relationships/revisionLog" Target="revisionLog11411.xml"/><Relationship Id="rId402" Type="http://schemas.openxmlformats.org/officeDocument/2006/relationships/revisionLog" Target="revisionLog11311.xml"/><Relationship Id="rId407" Type="http://schemas.openxmlformats.org/officeDocument/2006/relationships/revisionLog" Target="revisionLog116.xml"/><Relationship Id="rId423" Type="http://schemas.openxmlformats.org/officeDocument/2006/relationships/revisionLog" Target="revisionLog1711.xml"/><Relationship Id="rId428" Type="http://schemas.openxmlformats.org/officeDocument/2006/relationships/revisionLog" Target="revisionLog191.xml"/><Relationship Id="rId449" Type="http://schemas.openxmlformats.org/officeDocument/2006/relationships/revisionLog" Target="revisionLog1111.xml"/><Relationship Id="rId444" Type="http://schemas.openxmlformats.org/officeDocument/2006/relationships/revisionLog" Target="revisionLog11211.xml"/><Relationship Id="rId460" Type="http://schemas.openxmlformats.org/officeDocument/2006/relationships/revisionLog" Target="revisionLog117.xml"/><Relationship Id="rId465" Type="http://schemas.openxmlformats.org/officeDocument/2006/relationships/revisionLog" Target="revisionLog118.xml"/><Relationship Id="rId481" Type="http://schemas.openxmlformats.org/officeDocument/2006/relationships/revisionLog" Target="revisionLog1101.xml"/><Relationship Id="rId486" Type="http://schemas.openxmlformats.org/officeDocument/2006/relationships/revisionLog" Target="revisionLog1132.xml"/><Relationship Id="rId516" Type="http://schemas.openxmlformats.org/officeDocument/2006/relationships/revisionLog" Target="revisionLog115.xml"/><Relationship Id="rId388" Type="http://schemas.openxmlformats.org/officeDocument/2006/relationships/revisionLog" Target="revisionLog114111.xml"/><Relationship Id="rId367" Type="http://schemas.openxmlformats.org/officeDocument/2006/relationships/revisionLog" Target="revisionLog122.xml"/><Relationship Id="rId511" Type="http://schemas.openxmlformats.org/officeDocument/2006/relationships/revisionLog" Target="revisionLog1151.xml"/><Relationship Id="rId532" Type="http://schemas.openxmlformats.org/officeDocument/2006/relationships/revisionLog" Target="revisionLog119.xml"/><Relationship Id="rId537" Type="http://schemas.openxmlformats.org/officeDocument/2006/relationships/revisionLog" Target="revisionLog120.xml"/><Relationship Id="rId383" Type="http://schemas.openxmlformats.org/officeDocument/2006/relationships/revisionLog" Target="revisionLog11321.xml"/><Relationship Id="rId413" Type="http://schemas.openxmlformats.org/officeDocument/2006/relationships/revisionLog" Target="revisionLog151111.xml"/><Relationship Id="rId418" Type="http://schemas.openxmlformats.org/officeDocument/2006/relationships/revisionLog" Target="revisionLog1611.xml"/><Relationship Id="rId439" Type="http://schemas.openxmlformats.org/officeDocument/2006/relationships/revisionLog" Target="revisionLog112111.xml"/><Relationship Id="rId434" Type="http://schemas.openxmlformats.org/officeDocument/2006/relationships/revisionLog" Target="revisionLog1121111.xml"/><Relationship Id="rId450" Type="http://schemas.openxmlformats.org/officeDocument/2006/relationships/revisionLog" Target="revisionLog1171.xml"/><Relationship Id="rId455" Type="http://schemas.openxmlformats.org/officeDocument/2006/relationships/revisionLog" Target="revisionLog1191.xml"/><Relationship Id="rId471" Type="http://schemas.openxmlformats.org/officeDocument/2006/relationships/revisionLog" Target="revisionLog124.xml"/><Relationship Id="rId476" Type="http://schemas.openxmlformats.org/officeDocument/2006/relationships/revisionLog" Target="revisionLog1712.xml"/><Relationship Id="rId497" Type="http://schemas.openxmlformats.org/officeDocument/2006/relationships/revisionLog" Target="revisionLog126.xml"/><Relationship Id="rId506" Type="http://schemas.openxmlformats.org/officeDocument/2006/relationships/revisionLog" Target="revisionLog11511.xml"/><Relationship Id="rId492" Type="http://schemas.openxmlformats.org/officeDocument/2006/relationships/revisionLog" Target="revisionLog1152.xml"/><Relationship Id="rId501" Type="http://schemas.openxmlformats.org/officeDocument/2006/relationships/revisionLog" Target="revisionLog115111.xml"/><Relationship Id="rId522" Type="http://schemas.openxmlformats.org/officeDocument/2006/relationships/revisionLog" Target="revisionLog1192.xml"/><Relationship Id="rId527" Type="http://schemas.openxmlformats.org/officeDocument/2006/relationships/revisionLog" Target="revisionLog1201.xml"/><Relationship Id="rId408" Type="http://schemas.openxmlformats.org/officeDocument/2006/relationships/revisionLog" Target="revisionLog128.xml"/><Relationship Id="rId403" Type="http://schemas.openxmlformats.org/officeDocument/2006/relationships/revisionLog" Target="revisionLog127.xml"/><Relationship Id="rId399" Type="http://schemas.openxmlformats.org/officeDocument/2006/relationships/revisionLog" Target="revisionLog11331.xml"/><Relationship Id="rId429" Type="http://schemas.openxmlformats.org/officeDocument/2006/relationships/revisionLog" Target="revisionLog1111111.xml"/><Relationship Id="rId373" Type="http://schemas.openxmlformats.org/officeDocument/2006/relationships/revisionLog" Target="revisionLog11012.xml"/><Relationship Id="rId378" Type="http://schemas.openxmlformats.org/officeDocument/2006/relationships/revisionLog" Target="revisionLog113211.xml"/><Relationship Id="rId394" Type="http://schemas.openxmlformats.org/officeDocument/2006/relationships/revisionLog" Target="revisionLog1183.xml"/><Relationship Id="rId424" Type="http://schemas.openxmlformats.org/officeDocument/2006/relationships/revisionLog" Target="revisionLog17121.xml"/><Relationship Id="rId440" Type="http://schemas.openxmlformats.org/officeDocument/2006/relationships/revisionLog" Target="revisionLog11711.xml"/><Relationship Id="rId445" Type="http://schemas.openxmlformats.org/officeDocument/2006/relationships/revisionLog" Target="revisionLog11911.xml"/><Relationship Id="rId466" Type="http://schemas.openxmlformats.org/officeDocument/2006/relationships/revisionLog" Target="revisionLog1251.xml"/><Relationship Id="rId487" Type="http://schemas.openxmlformats.org/officeDocument/2006/relationships/revisionLog" Target="revisionLog129.xml"/><Relationship Id="rId461" Type="http://schemas.openxmlformats.org/officeDocument/2006/relationships/revisionLog" Target="revisionLog1291.xml"/><Relationship Id="rId482" Type="http://schemas.openxmlformats.org/officeDocument/2006/relationships/revisionLog" Target="revisionLog11341.xml"/><Relationship Id="rId512" Type="http://schemas.openxmlformats.org/officeDocument/2006/relationships/revisionLog" Target="revisionLog123.xml"/><Relationship Id="rId517" Type="http://schemas.openxmlformats.org/officeDocument/2006/relationships/revisionLog" Target="revisionLog1202.xml"/><Relationship Id="rId533" Type="http://schemas.openxmlformats.org/officeDocument/2006/relationships/revisionLog" Target="revisionLog132.xml"/><Relationship Id="rId538" Type="http://schemas.openxmlformats.org/officeDocument/2006/relationships/revisionLog" Target="revisionLog133.xml"/><Relationship Id="rId406" Type="http://schemas.openxmlformats.org/officeDocument/2006/relationships/revisionLog" Target="revisionLog1301.xml"/><Relationship Id="rId397" Type="http://schemas.openxmlformats.org/officeDocument/2006/relationships/revisionLog" Target="revisionLog1292.xml"/><Relationship Id="rId389" Type="http://schemas.openxmlformats.org/officeDocument/2006/relationships/revisionLog" Target="revisionLog1281.xml"/><Relationship Id="rId384" Type="http://schemas.openxmlformats.org/officeDocument/2006/relationships/revisionLog" Target="revisionLog1271.xml"/><Relationship Id="rId376" Type="http://schemas.openxmlformats.org/officeDocument/2006/relationships/revisionLog" Target="revisionLog1132111.xml"/><Relationship Id="rId419" Type="http://schemas.openxmlformats.org/officeDocument/2006/relationships/revisionLog" Target="revisionLog1612.xml"/><Relationship Id="rId368" Type="http://schemas.openxmlformats.org/officeDocument/2006/relationships/revisionLog" Target="revisionLog1821.xml"/><Relationship Id="rId371" Type="http://schemas.openxmlformats.org/officeDocument/2006/relationships/revisionLog" Target="revisionLog110121.xml"/><Relationship Id="rId520" Type="http://schemas.openxmlformats.org/officeDocument/2006/relationships/revisionLog" Target="revisionLog1252.xml"/><Relationship Id="rId401" Type="http://schemas.openxmlformats.org/officeDocument/2006/relationships/revisionLog" Target="revisionLog13011.xml"/><Relationship Id="rId392" Type="http://schemas.openxmlformats.org/officeDocument/2006/relationships/revisionLog" Target="revisionLog11831.xml"/><Relationship Id="rId414" Type="http://schemas.openxmlformats.org/officeDocument/2006/relationships/revisionLog" Target="revisionLog15111.xml"/><Relationship Id="rId422" Type="http://schemas.openxmlformats.org/officeDocument/2006/relationships/revisionLog" Target="revisionLog17111.xml"/><Relationship Id="rId427" Type="http://schemas.openxmlformats.org/officeDocument/2006/relationships/revisionLog" Target="revisionLog1911.xml"/><Relationship Id="rId430" Type="http://schemas.openxmlformats.org/officeDocument/2006/relationships/revisionLog" Target="revisionLog111111.xml"/><Relationship Id="rId435" Type="http://schemas.openxmlformats.org/officeDocument/2006/relationships/revisionLog" Target="revisionLog1921.xml"/><Relationship Id="rId443" Type="http://schemas.openxmlformats.org/officeDocument/2006/relationships/revisionLog" Target="revisionLog11212.xml"/><Relationship Id="rId448" Type="http://schemas.openxmlformats.org/officeDocument/2006/relationships/revisionLog" Target="revisionLog11512.xml"/><Relationship Id="rId456" Type="http://schemas.openxmlformats.org/officeDocument/2006/relationships/revisionLog" Target="revisionLog12411.xml"/><Relationship Id="rId464" Type="http://schemas.openxmlformats.org/officeDocument/2006/relationships/revisionLog" Target="revisionLog12511.xml"/><Relationship Id="rId469" Type="http://schemas.openxmlformats.org/officeDocument/2006/relationships/revisionLog" Target="revisionLog1321.xml"/><Relationship Id="rId477" Type="http://schemas.openxmlformats.org/officeDocument/2006/relationships/revisionLog" Target="revisionLog1102.xml"/><Relationship Id="rId498" Type="http://schemas.openxmlformats.org/officeDocument/2006/relationships/revisionLog" Target="revisionLog11513.xml"/><Relationship Id="rId451" Type="http://schemas.openxmlformats.org/officeDocument/2006/relationships/revisionLog" Target="revisionLog1110.xml"/><Relationship Id="rId472" Type="http://schemas.openxmlformats.org/officeDocument/2006/relationships/revisionLog" Target="revisionLog1331.xml"/><Relationship Id="rId493" Type="http://schemas.openxmlformats.org/officeDocument/2006/relationships/revisionLog" Target="revisionLog131111.xml"/><Relationship Id="rId502" Type="http://schemas.openxmlformats.org/officeDocument/2006/relationships/revisionLog" Target="revisionLog119211.xml"/><Relationship Id="rId507" Type="http://schemas.openxmlformats.org/officeDocument/2006/relationships/revisionLog" Target="revisionLog134.xml"/><Relationship Id="rId523" Type="http://schemas.openxmlformats.org/officeDocument/2006/relationships/revisionLog" Target="revisionLog1322.xml"/><Relationship Id="rId528" Type="http://schemas.openxmlformats.org/officeDocument/2006/relationships/revisionLog" Target="revisionLog135.xml"/><Relationship Id="rId395" Type="http://schemas.openxmlformats.org/officeDocument/2006/relationships/revisionLog" Target="revisionLog12911.xml"/><Relationship Id="rId374" Type="http://schemas.openxmlformats.org/officeDocument/2006/relationships/revisionLog" Target="revisionLog12711.xml"/><Relationship Id="rId379" Type="http://schemas.openxmlformats.org/officeDocument/2006/relationships/revisionLog" Target="revisionLog12811.xml"/><Relationship Id="rId409" Type="http://schemas.openxmlformats.org/officeDocument/2006/relationships/revisionLog" Target="revisionLog13211.xml"/><Relationship Id="rId390" Type="http://schemas.openxmlformats.org/officeDocument/2006/relationships/revisionLog" Target="revisionLog129111.xml"/><Relationship Id="rId404" Type="http://schemas.openxmlformats.org/officeDocument/2006/relationships/revisionLog" Target="revisionLog1311111.xml"/><Relationship Id="rId420" Type="http://schemas.openxmlformats.org/officeDocument/2006/relationships/revisionLog" Target="revisionLog162.xml"/><Relationship Id="rId425" Type="http://schemas.openxmlformats.org/officeDocument/2006/relationships/revisionLog" Target="revisionLog172.xml"/><Relationship Id="rId446" Type="http://schemas.openxmlformats.org/officeDocument/2006/relationships/revisionLog" Target="revisionLog11021.xml"/><Relationship Id="rId467" Type="http://schemas.openxmlformats.org/officeDocument/2006/relationships/revisionLog" Target="revisionLog1122.xml"/><Relationship Id="rId441" Type="http://schemas.openxmlformats.org/officeDocument/2006/relationships/revisionLog" Target="revisionLog110131.xml"/><Relationship Id="rId462" Type="http://schemas.openxmlformats.org/officeDocument/2006/relationships/revisionLog" Target="revisionLog113411.xml"/><Relationship Id="rId483" Type="http://schemas.openxmlformats.org/officeDocument/2006/relationships/revisionLog" Target="revisionLog1341.xml"/><Relationship Id="rId488" Type="http://schemas.openxmlformats.org/officeDocument/2006/relationships/revisionLog" Target="revisionLog1351.xml"/><Relationship Id="rId518" Type="http://schemas.openxmlformats.org/officeDocument/2006/relationships/revisionLog" Target="revisionLog12521.xml"/><Relationship Id="rId539" Type="http://schemas.openxmlformats.org/officeDocument/2006/relationships/revisionLog" Target="revisionLog136.xml"/><Relationship Id="rId369" Type="http://schemas.openxmlformats.org/officeDocument/2006/relationships/revisionLog" Target="revisionLog12111.xml"/><Relationship Id="rId513" Type="http://schemas.openxmlformats.org/officeDocument/2006/relationships/revisionLog" Target="revisionLog1361.xml"/><Relationship Id="rId534" Type="http://schemas.openxmlformats.org/officeDocument/2006/relationships/revisionLog" Target="revisionLog137.xml"/><Relationship Id="rId385" Type="http://schemas.openxmlformats.org/officeDocument/2006/relationships/revisionLog" Target="revisionLog113311.xml"/><Relationship Id="rId380" Type="http://schemas.openxmlformats.org/officeDocument/2006/relationships/revisionLog" Target="revisionLog1105.xml"/><Relationship Id="rId415" Type="http://schemas.openxmlformats.org/officeDocument/2006/relationships/revisionLog" Target="revisionLog1511.xml"/><Relationship Id="rId436" Type="http://schemas.openxmlformats.org/officeDocument/2006/relationships/revisionLog" Target="revisionLog192.xml"/><Relationship Id="rId457" Type="http://schemas.openxmlformats.org/officeDocument/2006/relationships/revisionLog" Target="revisionLog11521.xml"/><Relationship Id="rId410" Type="http://schemas.openxmlformats.org/officeDocument/2006/relationships/revisionLog" Target="revisionLog14111.xml"/><Relationship Id="rId431" Type="http://schemas.openxmlformats.org/officeDocument/2006/relationships/revisionLog" Target="revisionLog11111.xml"/><Relationship Id="rId452" Type="http://schemas.openxmlformats.org/officeDocument/2006/relationships/revisionLog" Target="revisionLog115131.xml"/><Relationship Id="rId473" Type="http://schemas.openxmlformats.org/officeDocument/2006/relationships/revisionLog" Target="revisionLog1192111.xml"/><Relationship Id="rId478" Type="http://schemas.openxmlformats.org/officeDocument/2006/relationships/revisionLog" Target="revisionLog171.xml"/><Relationship Id="rId494" Type="http://schemas.openxmlformats.org/officeDocument/2006/relationships/revisionLog" Target="revisionLog11531.xml"/><Relationship Id="rId499" Type="http://schemas.openxmlformats.org/officeDocument/2006/relationships/revisionLog" Target="revisionLog13611.xml"/><Relationship Id="rId508" Type="http://schemas.openxmlformats.org/officeDocument/2006/relationships/revisionLog" Target="revisionLog1371.xml"/><Relationship Id="rId529" Type="http://schemas.openxmlformats.org/officeDocument/2006/relationships/revisionLog" Target="revisionLog138.xml"/><Relationship Id="rId503" Type="http://schemas.openxmlformats.org/officeDocument/2006/relationships/revisionLog" Target="revisionLog1154.xml"/><Relationship Id="rId524" Type="http://schemas.openxmlformats.org/officeDocument/2006/relationships/revisionLog" Target="revisionLog1381.xml"/><Relationship Id="rId540" Type="http://schemas.openxmlformats.org/officeDocument/2006/relationships/revisionLog" Target="revisionLog1.xml"/><Relationship Id="rId405" Type="http://schemas.openxmlformats.org/officeDocument/2006/relationships/revisionLog" Target="revisionLog1231.xml"/><Relationship Id="rId396" Type="http://schemas.openxmlformats.org/officeDocument/2006/relationships/revisionLog" Target="revisionLog1181.xml"/><Relationship Id="rId370" Type="http://schemas.openxmlformats.org/officeDocument/2006/relationships/revisionLog" Target="revisionLog182.xml"/><Relationship Id="rId375" Type="http://schemas.openxmlformats.org/officeDocument/2006/relationships/revisionLog" Target="revisionLog110111.xml"/><Relationship Id="rId391" Type="http://schemas.openxmlformats.org/officeDocument/2006/relationships/revisionLog" Target="revisionLog1162.xml"/><Relationship Id="rId426" Type="http://schemas.openxmlformats.org/officeDocument/2006/relationships/revisionLog" Target="revisionLog19111.xml"/><Relationship Id="rId447" Type="http://schemas.openxmlformats.org/officeDocument/2006/relationships/revisionLog" Target="revisionLog115112.xml"/><Relationship Id="rId400" Type="http://schemas.openxmlformats.org/officeDocument/2006/relationships/revisionLog" Target="revisionLog1133.xml"/><Relationship Id="rId421" Type="http://schemas.openxmlformats.org/officeDocument/2006/relationships/revisionLog" Target="revisionLog171111.xml"/><Relationship Id="rId442" Type="http://schemas.openxmlformats.org/officeDocument/2006/relationships/revisionLog" Target="revisionLog1151112.xml"/><Relationship Id="rId463" Type="http://schemas.openxmlformats.org/officeDocument/2006/relationships/revisionLog" Target="revisionLog12021.xml"/><Relationship Id="rId468" Type="http://schemas.openxmlformats.org/officeDocument/2006/relationships/revisionLog" Target="revisionLog13221.xml"/><Relationship Id="rId484" Type="http://schemas.openxmlformats.org/officeDocument/2006/relationships/revisionLog" Target="revisionLog1134.xml"/><Relationship Id="rId489" Type="http://schemas.openxmlformats.org/officeDocument/2006/relationships/revisionLog" Target="revisionLog125211.xml"/><Relationship Id="rId519" Type="http://schemas.openxmlformats.org/officeDocument/2006/relationships/revisionLog" Target="revisionLog13811.xml"/><Relationship Id="rId514" Type="http://schemas.openxmlformats.org/officeDocument/2006/relationships/revisionLog" Target="revisionLog1193.xml"/><Relationship Id="rId530" Type="http://schemas.openxmlformats.org/officeDocument/2006/relationships/revisionLog" Target="revisionLog139.xml"/><Relationship Id="rId535" Type="http://schemas.openxmlformats.org/officeDocument/2006/relationships/revisionLog" Target="revisionLog140.xml"/><Relationship Id="rId381" Type="http://schemas.openxmlformats.org/officeDocument/2006/relationships/revisionLog" Target="revisionLog1141111.xml"/><Relationship Id="rId386" Type="http://schemas.openxmlformats.org/officeDocument/2006/relationships/revisionLog" Target="revisionLog1261.xml"/><Relationship Id="rId416" Type="http://schemas.openxmlformats.org/officeDocument/2006/relationships/revisionLog" Target="revisionLog151.xml"/><Relationship Id="rId411" Type="http://schemas.openxmlformats.org/officeDocument/2006/relationships/revisionLog" Target="revisionLog14112.xml"/><Relationship Id="rId432" Type="http://schemas.openxmlformats.org/officeDocument/2006/relationships/revisionLog" Target="revisionLog19211.xml"/><Relationship Id="rId437" Type="http://schemas.openxmlformats.org/officeDocument/2006/relationships/revisionLog" Target="revisionLog1151111.xml"/><Relationship Id="rId453" Type="http://schemas.openxmlformats.org/officeDocument/2006/relationships/revisionLog" Target="revisionLog12011.xml"/><Relationship Id="rId458" Type="http://schemas.openxmlformats.org/officeDocument/2006/relationships/revisionLog" Target="revisionLog1241.xml"/><Relationship Id="rId474" Type="http://schemas.openxmlformats.org/officeDocument/2006/relationships/revisionLog" Target="revisionLog161.xml"/><Relationship Id="rId479" Type="http://schemas.openxmlformats.org/officeDocument/2006/relationships/revisionLog" Target="revisionLog11013.xml"/><Relationship Id="rId509" Type="http://schemas.openxmlformats.org/officeDocument/2006/relationships/revisionLog" Target="revisionLog11921.xml"/><Relationship Id="rId490" Type="http://schemas.openxmlformats.org/officeDocument/2006/relationships/revisionLog" Target="revisionLog130.xml"/><Relationship Id="rId495" Type="http://schemas.openxmlformats.org/officeDocument/2006/relationships/revisionLog" Target="revisionLog13111.xml"/><Relationship Id="rId504" Type="http://schemas.openxmlformats.org/officeDocument/2006/relationships/revisionLog" Target="revisionLog1153.xml"/><Relationship Id="rId525" Type="http://schemas.openxmlformats.org/officeDocument/2006/relationships/revisionLog" Target="revisionLog125.xml"/></Relationships>
</file>

<file path=xl/revisions/revisionHeaders.xml><?xml version="1.0" encoding="utf-8"?>
<headers xmlns="http://schemas.openxmlformats.org/spreadsheetml/2006/main" xmlns:r="http://schemas.openxmlformats.org/officeDocument/2006/relationships" guid="{C2A9ADDA-68E6-4632-8626-A529DAC0421F}" diskRevisions="1" revisionId="21550" version="270">
  <header guid="{7BBE16C8-E29D-45F3-9C1F-09DE9972F0F9}" dateTime="2020-01-20T14:06:38" maxSheetId="24" userName="morgau_fin7" r:id="rId3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A9DD9B-7EBD-4445-987B-BB3D341787EB}" dateTime="2020-01-24T15:40:38" maxSheetId="24" userName="morgau_fin7" r:id="rId3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B87E18-4826-4EDF-9254-3F5242D847A3}" dateTime="2020-01-27T10:14:11" maxSheetId="24" userName="morgau_fin2" r:id="rId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BC99C0-8B95-4D76-BE6C-6A9D1B92F808}" dateTime="2020-02-04T16:50:02" maxSheetId="24" userName="morgau_fin3" r:id="rId369" minRId="14441" maxRId="14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648D22-A142-4202-B19F-8E7C38F87814}" dateTime="2020-02-04T16:55:10" maxSheetId="24" userName="morgau_fin3" r:id="rId3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BAF076-FFC7-4005-98FF-EFB9A1537A70}" dateTime="2020-02-05T09:12:31" maxSheetId="24" userName="morgau_fin3" r:id="rId371" minRId="14506" maxRId="14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2A127A-00E7-4124-AA25-76691E2FFD4B}" dateTime="2020-02-05T10:50:26" maxSheetId="24" userName="morgau_fin3" r:id="rId372" minRId="14540" maxRId="14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34B0C0-28A4-483F-BC21-47220336D850}" dateTime="2020-02-05T13:57:36" maxSheetId="24" userName="morgau_fin3" r:id="rId373" minRId="14599" maxRId="14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FE7A9-DE50-46EA-881C-DBE95EAE2353}" dateTime="2020-02-05T14:39:52" maxSheetId="24" userName="morgau_fin3" r:id="rId374" minRId="14655" maxRId="14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0FDD3-275F-4118-8453-5423A92E1418}" dateTime="2020-02-05T15:14:06" maxSheetId="24" userName="morgau_fin3" r:id="rId375" minRId="14712" maxRId="14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26418E-48C0-41AB-B453-8AC346236249}" dateTime="2020-02-05T16:20:13" maxSheetId="24" userName="morgau_fin3" r:id="rId376" minRId="14785" maxRId="14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BEB68F-7830-4F48-9BA4-B534C938B330}" dateTime="2020-02-05T16:36:19" maxSheetId="24" userName="morgau_fin3" r:id="rId377" minRId="14883" maxRId="14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50615F-AE9D-47D6-9B73-D29B1E43B6FC}" dateTime="2020-02-05T16:59:08" maxSheetId="24" userName="morgau_fin3" r:id="rId378" minRId="14975" maxRId="150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5B4C67-E241-4FB3-A84B-C5F03714045C}" dateTime="2020-02-05T17:03:24" maxSheetId="24" userName="morgau_fin3" r:id="rId379" minRId="15059" maxRId="15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5E4291-2299-4FF2-AF7A-1B488B310760}" dateTime="2020-02-06T09:33:37" maxSheetId="24" userName="morgau_fin3" r:id="rId380" minRId="15091" maxRId="15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5D8052-20C9-45F1-931A-BD3517119515}" dateTime="2020-02-06T10:00:11" maxSheetId="24" userName="morgau_fin3" r:id="rId381" minRId="15182" maxRId="15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D79258-F57E-40F1-8C88-2B0B4508DF2D}" dateTime="2020-02-06T10:53:33" maxSheetId="24" userName="morgau_fin3" r:id="rId382" minRId="15251" maxRId="15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A3F0E7-6BB0-41C4-9B41-F2A74CF1015D}" dateTime="2020-02-06T10:53:40" maxSheetId="24" userName="morgau_fin3" r:id="rId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BC929F-FEB0-477E-B566-61924CE6814C}" dateTime="2020-02-06T11:11:00" maxSheetId="24" userName="morgau_fin3" r:id="rId384" minRId="15339" maxRId="15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ACC57D-D4F7-41F0-9B71-D8D3D81B7090}" dateTime="2020-02-06T14:36:31" maxSheetId="24" userName="morgau_fin3" r:id="rId385" minRId="15433" maxRId="15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24802-D102-4853-A0B3-BBBE6DE5321A}" dateTime="2020-02-06T15:04:17" maxSheetId="24" userName="morgau_fin3" r:id="rId386" minRId="15591" maxRId="156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9BE1E2-9991-4448-AB77-78C3F86A1986}" dateTime="2020-02-06T15:22:38" maxSheetId="24" userName="morgau_fin3" r:id="rId387" minRId="15682" maxRId="15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6EC798-59EE-4712-95C4-266527134A54}" dateTime="2020-02-06T15:45:05" maxSheetId="24" userName="morgau_fin3" r:id="rId388" minRId="15780" maxRId="15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07ACE6-D561-4CF4-8287-03902112E406}" dateTime="2020-02-06T16:22:52" maxSheetId="24" userName="morgau_fin3" r:id="rId389" minRId="15878" maxRId="159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7F6C33-76AC-422F-8639-BFAA4A99AA6A}" dateTime="2020-02-06T16:31:38" maxSheetId="24" userName="morgau_fin3" r:id="rId390" minRId="15973" maxRId="16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DD1DD8-63FE-4312-AA6B-601426E484C9}" dateTime="2020-02-06T16:36:06" maxSheetId="24" userName="morgau_fin3" r:id="rId391" minRId="16042" maxRId="160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CBC2AD-AF18-492D-A8EB-F95E17D014EC}" dateTime="2020-02-06T16:50:24" maxSheetId="24" userName="morgau_fin3" r:id="rId392" minRId="16099" maxRId="161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09BB6E-34AB-473F-AC33-ABAD02168797}" dateTime="2020-02-06T16:50:44" maxSheetId="24" userName="morgau_fin3" r:id="rId3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0F00-3A8B-44AA-BC15-1E743AF9EF57}" dateTime="2020-02-06T16:57:37" maxSheetId="24" userName="morgau_fin3" r:id="rId394" minRId="16224" maxRId="16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C56050-7E95-4D18-9A9D-48481C0A42D1}" dateTime="2020-02-06T17:04:42" maxSheetId="24" userName="morgau_fin3" r:id="rId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E9BAF-4D08-4E5F-A5C1-865FFEDE57E4}" dateTime="2020-02-07T12:06:16" maxSheetId="24" userName="morgau_fin5" r:id="rId396" minRId="16297" maxRId="163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AB60B7-133D-430F-A657-4C304CD608FE}" dateTime="2020-02-07T12:11:29" maxSheetId="24" userName="morgau_fin5" r:id="rId397" minRId="16369" maxRId="16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32FB3F-3D1E-43EC-A246-2A9F6DA1C400}" dateTime="2020-02-07T12:14:52" maxSheetId="24" userName="morgau_fin5" r:id="rId398" minRId="16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FC40-D34D-4A8F-9B89-1AF966334F5E}" dateTime="2020-02-07T12:15:11" maxSheetId="24" userName="morgau_fin5" r:id="rId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8BF523-142E-4DD1-A9CA-D0C2687060D8}" dateTime="2020-02-07T12:16:07" maxSheetId="24" userName="morgau_fin5" r:id="rId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E6860E-AB30-4BF0-925B-59244E75875D}" dateTime="2020-02-07T13:15:34" maxSheetId="24" userName="morgau_fin5" r:id="rId401" minRId="16481" maxRId="16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924FBE-0734-4477-BCD9-41EF085BEF79}" dateTime="2020-02-07T13:19:29" maxSheetId="24" userName="morgau_fin5" r:id="rId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4F7D8F-A647-4F16-B799-38F18509DA6F}" dateTime="2020-02-07T14:02:21" maxSheetId="24" userName="morgau_fin5" r:id="rId403" minRId="16561" maxRId="16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4E3DA0-E13F-4957-83CC-BE438FD30881}" dateTime="2020-02-07T14:16:57" maxSheetId="24" userName="morgau_fin5" r:id="rId404" minRId="16673" maxRId="167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B8D7BB-4BB4-409B-BDC6-A4EDBCAFE92D}" dateTime="2020-02-07T14:17:20" maxSheetId="24" userName="morgau_fin5" r:id="rId4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1F277D-5433-45B0-8B9F-42D15E5D9992}" dateTime="2020-02-07T14:19:01" maxSheetId="24" userName="morgau_fin5" r:id="rId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A0C538-EA43-4027-9AF1-AD5DE76E9496}" dateTime="2020-02-07T15:17:30" maxSheetId="24" userName="morgau_fin3" r:id="rId407" minRId="16823" maxRId="168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34F2E8-5D56-4C2A-8DEE-56666BAD57C5}" dateTime="2020-02-07T16:39:15" maxSheetId="24" userName="morgau_fin3" r:id="rId4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E631F7-786A-4EFF-B5F8-F79E35321049}" dateTime="2020-02-07T16:51:03" maxSheetId="24" userName="morgau_fin3" r:id="rId4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03BF01-05C0-4DB6-8F83-D53A9F6362FA}" dateTime="2020-03-03T09:16:46" maxSheetId="24" userName="morgau_fin3" r:id="rId410" minRId="16924" maxRId="169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E2A3B9-CF4F-4982-BAD2-3A728EE23CCB}" dateTime="2020-03-03T09:38:15" maxSheetId="24" userName="morgau_fin3" r:id="rId411" minRId="16956" maxRId="169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5BC5F6-1A1F-49B4-82C2-982AFA139414}" dateTime="2020-03-03T09:39:34" maxSheetId="24" userName="morgau_fin3" r:id="rId412" minRId="17000" maxRId="170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EA6438-AC7C-4B14-86EA-133FFA6FB8F1}" dateTime="2020-03-03T09:51:52" maxSheetId="24" userName="morgau_fin3" r:id="rId413" minRId="17032" maxRId="170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BD415D-1E73-4A40-BB78-2058A0A97741}" dateTime="2020-03-03T10:06:30" maxSheetId="24" userName="morgau_fin3" r:id="rId414" minRId="17081" maxRId="170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D9960B-E987-4E4B-98B9-49026B003256}" dateTime="2020-03-03T10:10:53" maxSheetId="24" userName="morgau_fin3" r:id="rId415" minRId="17126" maxRId="171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AB86384-2E16-44A4-871C-4AE2D3131EFC}" dateTime="2020-03-03T10:11:02" maxSheetId="24" userName="morgau_fin3" r:id="rId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223A659-B8ED-437E-9885-F3C9BC4F931F}" dateTime="2020-03-03T10:22:10" maxSheetId="24" userName="morgau_fin3" r:id="rId417" minRId="17194" maxRId="172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22D4989-04F1-46B1-ACA5-14C09492A10B}" dateTime="2020-03-03T10:29:04" maxSheetId="24" userName="morgau_fin3" r:id="rId418" minRId="17241" maxRId="172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8D5808-E775-432C-AC43-70E0FA115925}" dateTime="2020-03-03T10:35:12" maxSheetId="24" userName="morgau_fin3" r:id="rId419" minRId="17278" maxRId="172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9E5D20-1FE9-443C-9EEE-61C42D667BDC}" dateTime="2020-03-03T10:52:23" maxSheetId="24" userName="morgau_fin3" r:id="rId420" minRId="17320" maxRId="173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A2088AE-1549-413F-87A0-A7DC8757544C}" dateTime="2020-03-03T11:42:29" maxSheetId="24" userName="morgau_fin3" r:id="rId421" minRId="17356" maxRId="173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83D88F-E311-4CFD-813E-F81FE6EE7724}" dateTime="2020-03-03T11:49:47" maxSheetId="24" userName="morgau_fin3" r:id="rId422" minRId="17405" maxRId="174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D70012-21CF-4982-B0F3-9641B29C6AAC}" dateTime="2020-03-03T11:59:44" maxSheetId="24" userName="morgau_fin3" r:id="rId423" minRId="17438" maxRId="174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3146EA-0754-459C-9570-89718ADF9F00}" dateTime="2020-03-03T12:04:15" maxSheetId="24" userName="morgau_fin3" r:id="rId424" minRId="17478" maxRId="17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53421D-F230-4C49-9B65-B16C5B96B409}" dateTime="2020-03-03T13:55:13" maxSheetId="24" userName="morgau_fin3" r:id="rId425" minRId="17512" maxRId="175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009FDA-1186-4DD7-882E-B0FFD1CFB231}" dateTime="2020-03-03T14:33:41" maxSheetId="24" userName="morgau_fin3" r:id="rId426" minRId="17549" maxRId="175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2F8773C-A765-44F9-BEF9-A7590684D555}" dateTime="2020-03-03T14:38:28" maxSheetId="24" userName="morgau_fin2" r:id="rId427" minRId="17603" maxRId="176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F348A4-3E51-43A3-9205-9EB70C4D9C9A}" dateTime="2020-03-03T14:38:30" maxSheetId="24" userName="morgau_fin2" r:id="rId4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BEFA61F-A4F4-44BC-88E7-3FCED03FABE6}" dateTime="2020-03-03T14:38:33" maxSheetId="24" userName="morgau_fin2" r:id="rId4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E27CA7-8007-469C-9A62-E2E9B4D277DF}" dateTime="2020-03-03T14:38:37" maxSheetId="24" userName="morgau_fin2" r:id="rId4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EF095C-8345-4D26-8EC6-A4BA792F4747}" dateTime="2020-03-03T14:50:36" maxSheetId="24" userName="morgau_fin3" r:id="rId431" minRId="17727" maxRId="177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AFB490F-BE94-49C8-A533-E0262F788A7E}" dateTime="2020-03-03T14:50:44" maxSheetId="24" userName="morgau_fin3" r:id="rId4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CB2C36-6A2E-4B3F-AAC4-D9387C846878}" dateTime="2020-03-03T14:55:50" maxSheetId="24" userName="morgau_fin2" r:id="rId433" minRId="17809" maxRId="178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62B0A2-CE10-40C6-8D86-12F240C50524}" dateTime="2020-03-03T14:57:12" maxSheetId="24" userName="morgau_fin3" r:id="rId434" minRId="17854" maxRId="178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48A9D4-30B8-48D3-9E22-5FE047508C65}" dateTime="2020-03-03T14:57:17" maxSheetId="24" userName="morgau_fin2" r:id="rId435" minRId="17898" maxRId="178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5EC49C-51F5-4B7C-9ED8-EA2AA93F751B}" dateTime="2020-03-03T15:00:07" maxSheetId="24" userName="morgau_fin2" r:id="rId436" minRId="17930" maxRId="179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D51EA8D-258C-472C-B05E-F6638FABEC39}" dateTime="2020-03-03T15:00:33" maxSheetId="24" userName="morgau_fin2" r:id="rId437" minRId="17966" maxRId="179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62074D-AA65-4A2E-91C8-E155BAAF1B81}" dateTime="2020-03-03T15:00:41" maxSheetId="24" userName="morgau_fin2" r:id="rId4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9D31F9-4728-4C53-9008-4BB22A9BB721}" dateTime="2020-03-03T15:00:43" maxSheetId="24" userName="morgau_fin3" r:id="rId439" minRId="18030" maxRId="180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F29AF5-49A3-4308-AC20-FBBFFA5526F6}" dateTime="2020-03-03T15:00:45" maxSheetId="24" userName="morgau_fin2" r:id="rId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7F8B499-0EBB-4BE3-A6CD-4F808F4E5741}" dateTime="2020-03-03T15:00:50" maxSheetId="24" userName="morgau_fin3" r:id="rId4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4FF3ECA-1CE0-49FF-A423-3D36B4BCE16C}" dateTime="2020-03-03T15:00:52" maxSheetId="24" userName="morgau_fin2" r:id="rId4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018CD3A-8AB1-449B-BDC8-630EBD364198}" dateTime="2020-03-03T15:04:20" maxSheetId="24" userName="morgau_fin2" r:id="rId443" minRId="18155" maxRId="181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431FC4F-6FFD-4CD4-84E8-9C5A02B978C9}" dateTime="2020-03-03T15:04:23" maxSheetId="24" userName="morgau_fin2" r:id="rId4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AD8D89-0449-4981-AA3B-0510822A8D58}" dateTime="2020-03-03T15:06:34" maxSheetId="24" userName="morgau_fin2" r:id="rId445" minRId="18229" maxRId="182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A64231E-8162-4593-BCA6-9F64CCF84897}" dateTime="2020-03-03T15:06:36" maxSheetId="24" userName="morgau_fin2" r:id="rId4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4480BF-D7D6-4029-90B8-9E892C3C9413}" dateTime="2020-03-03T15:06:38" maxSheetId="24" userName="morgau_fin2" r:id="rId4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DD7BD9D-81D7-4D65-B8E5-E6FDFEBDE56C}" dateTime="2020-03-03T15:06:41" maxSheetId="24" userName="morgau_fin2" r:id="rId4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DA52BEA-39F2-44E1-9E1E-6CF2EEA78DFC}" dateTime="2020-03-03T15:06:43" maxSheetId="24" userName="morgau_fin2" r:id="rId4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A0D50D-FDE1-494B-B2BA-DCA4E0B223DA}" dateTime="2020-03-03T15:06:46" maxSheetId="24" userName="morgau_fin2" r:id="rId4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0212902-F9A1-4B4A-9DFA-2DC8C0BF64EA}" dateTime="2020-03-03T15:07:15" maxSheetId="24" userName="morgau_fin2" r:id="rId451" minRId="18419" maxRId="184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2E8D0DF-4DD9-492D-BCC3-7EB9F9F9429B}" dateTime="2020-03-03T15:07:18" maxSheetId="24" userName="morgau_fin2" r:id="rId4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593944-1F48-4D2C-9A24-CA19D81277C5}" dateTime="2020-03-03T15:07:22" maxSheetId="24" userName="morgau_fin2" r:id="rId4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814941-B1E7-422B-B99A-B653A5FF8725}" dateTime="2020-03-03T15:09:43" maxSheetId="24" userName="morgau_fin3" r:id="rId454" minRId="18512" maxRId="185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63F7BD-DFFC-43A9-9304-690A9A6D498F}" dateTime="2020-03-03T15:09:52" maxSheetId="24" userName="morgau_fin3" r:id="rId4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C0A6CE-2853-429B-AB1D-8F0BE635A434}" dateTime="2020-03-03T15:09:55" maxSheetId="24" userName="morgau_fin2" r:id="rId456" minRId="18591" maxRId="186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C0A9EDC-14B2-4A89-BB87-7756F0485BD3}" dateTime="2020-03-03T15:10:45" maxSheetId="24" userName="morgau_fin2" r:id="rId457" minRId="18632" maxRId="186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B69E1B-9349-4699-B8AC-8FB8CC54726D}" dateTime="2020-03-03T15:13:01" maxSheetId="24" userName="morgau_fin2" r:id="rId458" minRId="18667" maxRId="186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2D1822-1F6C-4EA7-8BE5-4112CE281B43}" dateTime="2020-03-03T15:13:11" maxSheetId="24" userName="morgau_fin2" r:id="rId459" minRId="187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4D7BDD-8D00-422A-A576-236F32388E5F}" dateTime="2020-03-03T15:13:14" maxSheetId="24" userName="morgau_fin2" r:id="rId4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790B67-2FA7-4EE1-9225-88E40A993139}" dateTime="2020-03-03T15:13:55" maxSheetId="24" userName="morgau_fin2" r:id="rId4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B53011-1921-4169-B788-0727F4463B39}" dateTime="2020-03-03T15:13:58" maxSheetId="24" userName="morgau_fin2" r:id="rId4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B49C89-AB2A-4D95-B104-F03162FCF0D9}" dateTime="2020-03-03T15:14:14" maxSheetId="24" userName="morgau_fin2" r:id="rId4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2487474-F339-4119-B9BD-9F4A4991CCDA}" dateTime="2020-03-03T15:14:20" maxSheetId="24" userName="morgau_fin2" r:id="rId4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FEE3821-CCDE-423B-A59E-616BD98A700E}" dateTime="2020-03-03T15:45:01" maxSheetId="24" userName="morgau_fin3" r:id="rId465" minRId="18883" maxRId="189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03062E-BD83-4375-95E0-71B60A024545}" dateTime="2020-03-03T15:45:16" maxSheetId="24" userName="morgau_fin3" r:id="rId4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38AD41-300C-4D55-83AF-55E2DB7ABB7B}" dateTime="2020-03-03T16:06:03" maxSheetId="24" userName="morgau_fin2" r:id="rId467" minRId="18964" maxRId="189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CCA30BF-39DB-4247-8C90-431802D62C38}" dateTime="2020-03-03T16:11:48" maxSheetId="24" userName="morgau_fin2" r:id="rId468" minRId="19016" maxRId="190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ABD645-9697-49A0-9199-4B45844E029D}" dateTime="2020-03-03T16:14:48" maxSheetId="24" userName="morgau_fin2" r:id="rId469" minRId="19061" maxRId="19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2C7F790-9527-4CE5-843D-73C53227101D}" dateTime="2020-03-03T16:16:07" maxSheetId="24" userName="morgau_fin3" r:id="rId470" minRId="19096" maxRId="191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202F2C5-960D-4067-AA53-B822A29D5A57}" dateTime="2020-03-03T16:16:16" maxSheetId="24" userName="morgau_fin3" r:id="rId4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C98DDF1-3D34-4AC6-AC59-F188BB7C7892}" dateTime="2020-03-03T16:16:34" maxSheetId="24" userName="morgau_fin2" r:id="rId47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CE018D0-DAC3-4448-83E7-C67A2DF063D0}" dateTime="2020-03-03T16:17:18" maxSheetId="24" userName="morgau_fin3" r:id="rId473" minRId="192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9A2C23E-361F-4D6B-A2D4-3EF96134E3FA}" dateTime="2020-03-03T16:17:53" maxSheetId="24" userName="morgau_fin2" r:id="rId4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DD5A8E-E1B4-491C-8F48-7685974C4047}" dateTime="2020-03-03T16:21:52" maxSheetId="24" userName="morgau_fin2" r:id="rId475" minRId="19268" maxRId="192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554C61-4631-47C1-8D0C-500470C235A7}" dateTime="2020-03-03T16:21:55" maxSheetId="24" userName="morgau_fin2" r:id="rId4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FCC9A2-BC98-4EFB-A8A4-2788C2816254}" dateTime="2020-03-03T16:25:57" maxSheetId="24" userName="morgau_fin2" r:id="rId477" minRId="19345" maxRId="1935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CBDF8B-0455-4255-A6AC-FBA38AC2426F}" dateTime="2020-03-03T16:26:32" maxSheetId="24" userName="morgau_fin2" r:id="rId478" minRId="19392" maxRId="193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4866CE-E7E4-484B-890E-ED8290FC5727}" dateTime="2020-03-03T16:26:35" maxSheetId="24" userName="morgau_fin2" r:id="rId4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64D526C-E2CD-4D6F-A7B9-1551AC3D1F8F}" dateTime="2020-03-03T16:27:46" maxSheetId="24" userName="morgau_fin2" r:id="rId480" minRId="19459" maxRId="194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68AA9DF-3105-4814-A27D-DA4EA7BD03EB}" dateTime="2020-03-03T16:27:48" maxSheetId="24" userName="morgau_fin2" r:id="rId4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BFB178-EAFB-46BF-8F65-9E28040B303D}" dateTime="2020-03-03T16:27:59" maxSheetId="24" userName="morgau_fin2" r:id="rId482" minRId="195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09AB7C9-AE02-44FD-BA0D-463C6430DF96}" dateTime="2020-03-03T16:28:01" maxSheetId="24" userName="morgau_fin2" r:id="rId4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FD7C4CB-6C3F-4BED-B91A-0D2DC692DF27}" dateTime="2020-03-03T16:44:35" maxSheetId="24" userName="morgau_fin2" r:id="rId484" minRId="19590" maxRId="196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5FBCC08-2A79-4333-88FC-204857DF527F}" dateTime="2020-03-03T16:44:39" maxSheetId="24" userName="morgau_fin2" r:id="rId4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A70DC7-1F9B-4694-804D-EAE5AE523650}" dateTime="2020-03-03T16:44:42" maxSheetId="24" userName="morgau_fin2" r:id="rId4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AD8F2C-6911-4B80-9724-4B127AAD7169}" dateTime="2020-03-03T16:44:52" maxSheetId="24" userName="morgau_fin2" r:id="rId48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D5C64E4-F6A4-4022-910B-0B459FB11471}" dateTime="2020-03-03T16:46:05" maxSheetId="24" userName="morgau_fin2" r:id="rId488" minRId="197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4DC4A9E-E359-45B6-AE65-118D448AEB1C}" dateTime="2020-03-03T16:49:27" maxSheetId="24" userName="morgau_fin2" r:id="rId489" minRId="197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EE3187-7044-49FD-BA0B-6E5D176BECCB}" dateTime="2020-03-03T16:51:02" maxSheetId="24" userName="morgau_fin2" r:id="rId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A82E43-7998-4654-A08F-AC1DF78CBDAA}" dateTime="2020-03-03T16:51:08" maxSheetId="24" userName="morgau_fin2" r:id="rId49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3D1991-C8CA-46D1-AB6B-DE77778397CA}" dateTime="2020-03-03T16:56:46" maxSheetId="24" userName="morgau_fin2" r:id="rId492" minRId="19887" maxRId="199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BEA811-F149-4AB8-9162-A32F95D9A761}" dateTime="2020-03-03T16:56:53" maxSheetId="24" userName="morgau_fin2" r:id="rId4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52776D-A5FD-4820-B385-D0F5A50C60D5}" dateTime="2020-03-03T16:57:16" maxSheetId="24" userName="morgau_fin2" r:id="rId4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56E4E2-0495-4657-AC87-BCDE1AEC0CA1}" dateTime="2020-03-03T16:58:17" maxSheetId="24" userName="morgau_fin2" r:id="rId495" minRId="199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0407C5-8BB4-497A-9501-EF283EC87945}" dateTime="2020-03-03T16:58:20" maxSheetId="24" userName="morgau_fin2" r:id="rId4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83249AB-10EE-4E16-BF8F-633D5FB30348}" dateTime="2020-03-03T16:58:53" maxSheetId="24" userName="morgau_fin2" r:id="rId4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77CF55C-CEE7-4D47-A07D-44E3C020B81D}" dateTime="2020-03-03T16:59:09" maxSheetId="24" userName="morgau_fin2" r:id="rId4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DAB555-A99E-4CBE-94A8-C1DDDD0CBE72}" dateTime="2020-03-04T08:08:24" maxSheetId="24" userName="morgau_fin2" r:id="rId499" minRId="20128" maxRId="201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4ED6DD5-D488-413D-B70F-5E24AC75E876}" dateTime="2020-03-04T08:26:31" maxSheetId="24" userName="morgau_fin2" r:id="rId500" minRId="20162" maxRId="201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AE406C-BE2E-45FF-BB2E-6BB7C958E16D}" dateTime="2020-03-04T08:32:26" maxSheetId="24" userName="morgau_fin2" r:id="rId501" minRId="20197" maxRId="202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473E29-3FF0-4832-A51C-740A68811310}" dateTime="2020-03-04T08:33:04" maxSheetId="24" userName="morgau_fin2" r:id="rId5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131C430-0300-43D9-94FA-75C22D4E6799}" dateTime="2020-03-04T08:33:06" maxSheetId="24" userName="morgau_fin2" r:id="rId5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A65C9E6-EB93-4687-B86C-9C87E73CDA00}" dateTime="2020-03-04T08:33:59" maxSheetId="24" userName="morgau_fin2" r:id="rId5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1960BA-A945-4643-8D6E-4A47E4918D0E}" dateTime="2020-03-04T08:38:18" maxSheetId="24" userName="morgau_fin2" r:id="rId505" minRId="203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F7C0D62-EBD5-49A8-924E-A62BD645379A}" dateTime="2020-03-04T08:38:24" maxSheetId="24" userName="morgau_fin2" r:id="rId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C8A0854-C1F8-4BAD-9273-22AD616F4D42}" dateTime="2020-03-04T08:38:28" maxSheetId="24" userName="morgau_fin2" r:id="rId5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4561990-1316-456D-A615-936777BEF0BD}" dateTime="2020-03-04T08:38:32" maxSheetId="24" userName="morgau_fin2" r:id="rId5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FA44A2-5488-4D77-9933-6AE8E0DA3BE3}" dateTime="2020-03-04T08:40:30" maxSheetId="24" userName="morgau_fin2" r:id="rId509" minRId="20465" maxRId="204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16E9E6-4080-4199-B8C3-12E1A1BA9E90}" dateTime="2020-03-04T08:42:53" maxSheetId="24" userName="morgau_fin2" r:id="rId510" minRId="20500" maxRId="205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5075941-2A57-4367-B3EB-EAAFB6691665}" dateTime="2020-03-04T08:43:14" maxSheetId="24" userName="morgau_fin2" r:id="rId511" minRId="205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515425-6CEC-4636-8F47-2A81DC62D58A}" dateTime="2020-03-04T08:43:23" maxSheetId="24" userName="morgau_fin2" r:id="rId5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741122-741E-444E-B4D7-27A93961D6BE}" dateTime="2020-03-04T08:45:39" maxSheetId="24" userName="morgau_fin2" r:id="rId5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CA0408-623F-48EE-8EFD-5686E699F21F}" dateTime="2020-03-04T08:45:43" maxSheetId="24" userName="morgau_fin2" r:id="rId5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106B77-D95D-4D2A-A876-5909F3F5048A}" dateTime="2020-03-04T08:46:20" maxSheetId="24" userName="morgau_fin2" r:id="rId5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19D2940-4725-473E-BD9C-7C3EEC39CF98}" dateTime="2020-03-04T08:47:48" maxSheetId="24" userName="morgau_fin2" r:id="rId516" minRId="20697" maxRId="207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144000-C9C0-4DF7-B1B0-306BA6B74441}" dateTime="2020-03-04T08:48:08" maxSheetId="24" userName="morgau_fin2" r:id="rId517" minRId="20733" maxRId="207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BFF85EE-A3CB-4E3A-B21B-763AA43288F8}" dateTime="2020-03-04T08:48:16" maxSheetId="24" userName="morgau_fin2" r:id="rId5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6E0186-1BD8-42BB-B2B2-C93B2DAF4A46}" dateTime="2020-03-04T08:49:42" maxSheetId="24" userName="morgau_fin2" r:id="rId5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A7737B-8858-4363-A533-F23163649C92}" dateTime="2020-03-04T08:49:44" maxSheetId="24" userName="morgau_fin2" r:id="rId5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3BA1A82-6F69-4B92-8541-B12BF172B174}" dateTime="2020-03-04T08:50:10" maxSheetId="24" userName="morgau_fin2" r:id="rId5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E1F5536-A800-4D35-9674-007B090C6405}" dateTime="2020-03-04T08:53:20" maxSheetId="24" userName="morgau_fin2" r:id="rId522" minRId="20897" maxRId="209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37203BD-15C3-4C5D-B290-1EEFE641CDC3}" dateTime="2020-03-04T08:55:08" maxSheetId="24" userName="morgau_fin2" r:id="rId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A4B604-3B97-4AAD-9148-7B6033D4105E}" dateTime="2020-03-04T08:55:36" maxSheetId="24" userName="morgau_fin2" r:id="rId5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E439BB-3AD2-407A-A65C-7CE3FA863131}" dateTime="2020-03-04T08:56:12" maxSheetId="24" userName="morgau_fin2" r:id="rId5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C8C6E9-6072-4DF7-85F5-907998DA59B2}" dateTime="2020-03-04T08:56:46" maxSheetId="24" userName="morgau_fin2" r:id="rId5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74D631-5981-473B-98EB-1956D51FD1CD}" dateTime="2020-03-04T08:57:35" maxSheetId="24" userName="morgau_fin2" r:id="rId5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7E0816-618C-49EE-AE96-FBEF7BE38E6B}" dateTime="2020-03-04T08:58:15" maxSheetId="24" userName="morgau_fin2" r:id="rId528" minRId="21131" maxRId="211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153A27-E4A7-4636-AC6C-877792E33C73}" dateTime="2020-03-04T08:59:13" maxSheetId="24" userName="morgau_fin2" r:id="rId5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75E3F9-A982-4FF6-AFF6-B1543BA83C7C}" dateTime="2020-03-04T09:00:10" maxSheetId="25" userName="morgau_fin2" r:id="rId530" minRId="2119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6D7C0E60-A336-4FE4-BF61-7F92D19FAE3B}" dateTime="2020-03-04T09:00:37" maxSheetId="25" userName="morgau_fin2" r:id="rId531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FAE86FF2-99C4-4BDD-B285-958B9C68254C}" dateTime="2020-03-04T09:00:42" maxSheetId="25" userName="morgau_fin2" r:id="rId532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08C5FCBC-2B17-4142-923F-619140755FA9}" dateTime="2020-03-04T09:00:45" maxSheetId="25" userName="morgau_fin2" r:id="rId533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61FED865-24B0-4DB3-B4FB-6B71ED1C4C72}" dateTime="2020-03-04T09:00:57" maxSheetId="25" userName="morgau_fin2" r:id="rId534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ACB62D46-BBA3-4B84-A64B-3668DBAEAE08}" dateTime="2020-03-04T10:17:27" maxSheetId="25" userName="morgau_fin3" r:id="rId535" minRId="21360" maxRId="21363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8E1D3CEF-1699-4625-AC11-B55F7E4A7D03}" dateTime="2020-03-04T10:23:48" maxSheetId="25" userName="morgau_fin3" r:id="rId536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D8A3D278-DBD4-4F2A-9DAC-73083084C923}" dateTime="2020-03-04T14:53:56" maxSheetId="25" userName="morgau_fin2" r:id="rId537" minRId="21422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522560E4-A05B-439A-BCA1-1C7A326DEE34}" dateTime="2020-03-04T14:54:16" maxSheetId="25" userName="morgau_fin2" r:id="rId538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12709D37-92B8-41DC-9D67-10E6C686F0BB}" dateTime="2020-03-04T14:54:24" maxSheetId="25" userName="morgau_fin2" r:id="rId53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C2A9ADDA-68E6-4632-8626-A529DAC0421F}" dateTime="2020-03-04T14:55:16" maxSheetId="25" userName="morgau_fin2" r:id="rId540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9459" sId="3" numFmtId="4">
    <oc r="D130">
      <v>2458.9585000000002</v>
    </oc>
    <nc r="D130">
      <v>4917.9170000000004</v>
    </nc>
  </rcc>
  <rcc rId="19460" sId="3" numFmtId="4">
    <oc r="C132">
      <v>2454.0700000000002</v>
    </oc>
    <nc r="C132">
      <v>10585.47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6399" sId="6" numFmtId="4">
    <oc r="C45">
      <v>663.8</v>
    </oc>
    <nc r="C45">
      <v>1097.19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4712" sId="5" numFmtId="4">
    <oc r="D38">
      <v>2.52956</v>
    </oc>
    <nc r="D38">
      <v>-2.52956</v>
    </nc>
  </rcc>
  <rcc rId="14713" sId="5">
    <oc r="A35">
      <v>1163305010</v>
    </oc>
    <nc r="A35">
      <v>1160000000</v>
    </nc>
  </rcc>
  <rcc rId="14714" sId="5">
    <oc r="A36">
      <v>1163305010</v>
    </oc>
    <nc r="A36">
      <v>1160701010</v>
    </nc>
  </rcc>
  <rcc rId="14715" sId="5">
    <oc r="B36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6" t="inlineStr">
      <is>
    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    </is>
    </nc>
  </rcc>
  <rcc rId="14716" sId="5" numFmtId="4">
    <oc r="D36">
      <v>0</v>
    </oc>
    <nc r="D36">
      <v>2.3295599999999999</v>
    </nc>
  </rcc>
  <rcc rId="14717" sId="5" numFmtId="4">
    <oc r="C42">
      <v>3003</v>
    </oc>
    <nc r="C42">
      <v>3283.9</v>
    </nc>
  </rcc>
  <rcc rId="14718" sId="5" numFmtId="4">
    <oc r="D42">
      <v>3003</v>
    </oc>
    <nc r="D42">
      <v>273.654</v>
    </nc>
  </rcc>
  <rcc rId="14719" sId="5" numFmtId="4">
    <oc r="C43">
      <v>446.5</v>
    </oc>
    <nc r="C43">
      <v>0</v>
    </nc>
  </rcc>
  <rcc rId="14720" sId="5" numFmtId="4">
    <oc r="D43">
      <v>446.5</v>
    </oc>
    <nc r="D43">
      <v>0</v>
    </nc>
  </rcc>
  <rcc rId="14721" sId="5" numFmtId="4">
    <oc r="C44">
      <v>4765.3783100000001</v>
    </oc>
    <nc r="C44">
      <v>2037.6</v>
    </nc>
  </rcc>
  <rcc rId="14722" sId="5" numFmtId="4">
    <oc r="D44">
      <v>4765.3788299999997</v>
    </oc>
    <nc r="D44">
      <v>0</v>
    </nc>
  </rcc>
  <rcc rId="14723" sId="5" numFmtId="4">
    <oc r="C46">
      <v>183.01900000000001</v>
    </oc>
    <nc r="C46">
      <v>185.178</v>
    </nc>
  </rcc>
  <rcc rId="14724" sId="5" numFmtId="4">
    <oc r="D46">
      <v>183.01900000000001</v>
    </oc>
    <nc r="D46">
      <v>14.933299999999999</v>
    </nc>
  </rcc>
  <rcc rId="14725" sId="5" numFmtId="4">
    <oc r="C47">
      <v>675.19200000000001</v>
    </oc>
    <nc r="C47">
      <v>0</v>
    </nc>
  </rcc>
  <rcc rId="14726" sId="5" numFmtId="4">
    <oc r="D47">
      <v>675.18579999999997</v>
    </oc>
    <nc r="D47">
      <v>0</v>
    </nc>
  </rcc>
  <rcc rId="14727" sId="5" numFmtId="4">
    <oc r="C48">
      <v>369.05937</v>
    </oc>
    <nc r="C48">
      <v>0</v>
    </nc>
  </rcc>
  <rcc rId="14728" sId="5" numFmtId="4">
    <oc r="D48">
      <v>523.54088000000002</v>
    </oc>
    <nc r="D48">
      <v>0</v>
    </nc>
  </rcc>
  <rcc rId="14729" sId="5" numFmtId="4">
    <oc r="C59">
      <v>1799.7919999999999</v>
    </oc>
    <nc r="C59">
      <v>1754.6</v>
    </nc>
  </rcc>
  <rcc rId="14730" sId="5" numFmtId="4">
    <oc r="D59">
      <v>1796.4857500000001</v>
    </oc>
    <nc r="D59">
      <v>36.070070000000001</v>
    </nc>
  </rcc>
  <rcc rId="14731" sId="5" numFmtId="4">
    <oc r="C64">
      <v>15.500999999999999</v>
    </oc>
    <nc r="C64">
      <v>5.843</v>
    </nc>
  </rcc>
  <rcc rId="14732" sId="5" numFmtId="4">
    <oc r="D64">
      <v>15.2005</v>
    </oc>
    <nc r="D64">
      <v>0</v>
    </nc>
  </rcc>
  <rcc rId="14733" sId="5" numFmtId="4">
    <oc r="C62">
      <v>0</v>
    </oc>
    <nc r="C62">
      <v>53</v>
    </nc>
  </rcc>
  <rcc rId="14734" sId="5" numFmtId="4">
    <oc r="C66">
      <v>179.892</v>
    </oc>
    <nc r="C66">
      <v>179.208</v>
    </nc>
  </rcc>
  <rcc rId="14735" sId="5" numFmtId="4">
    <oc r="D66">
      <v>179.892</v>
    </oc>
    <nc r="D66">
      <v>4</v>
    </nc>
  </rcc>
  <rcc rId="14736" sId="5" numFmtId="4">
    <oc r="C70">
      <v>2.7031100000000001</v>
    </oc>
    <nc r="C70">
      <v>2</v>
    </nc>
  </rcc>
  <rcc rId="14737" sId="5" numFmtId="4">
    <oc r="D70">
      <v>2.7031100000000001</v>
    </oc>
    <nc r="D70">
      <v>0</v>
    </nc>
  </rcc>
  <rcc rId="14738" sId="5" numFmtId="4">
    <oc r="C72">
      <v>2.1</v>
    </oc>
    <nc r="C72">
      <v>4</v>
    </nc>
  </rcc>
  <rcc rId="14739" sId="5" numFmtId="4">
    <oc r="D72">
      <v>2.1</v>
    </oc>
    <nc r="D72">
      <v>0</v>
    </nc>
  </rcc>
  <rcc rId="14740" sId="5" numFmtId="4">
    <oc r="D71">
      <v>2</v>
    </oc>
    <nc r="D71">
      <v>0</v>
    </nc>
  </rcc>
  <rcc rId="14741" sId="5" numFmtId="4">
    <oc r="C74">
      <v>8.0429999999999993</v>
    </oc>
    <nc r="C74">
      <v>14.316000000000001</v>
    </nc>
  </rcc>
  <rcc rId="14742" sId="5" numFmtId="4">
    <oc r="D74">
      <v>8.0429999999999993</v>
    </oc>
    <nc r="D74">
      <v>0</v>
    </nc>
  </rcc>
  <rcc rId="14743" sId="5" numFmtId="4">
    <oc r="C75">
      <v>1371.1010000000001</v>
    </oc>
    <nc r="C75">
      <v>153</v>
    </nc>
  </rcc>
  <rcc rId="14744" sId="5" numFmtId="4">
    <oc r="D75">
      <v>1276.83853</v>
    </oc>
    <nc r="D75">
      <v>0</v>
    </nc>
  </rcc>
  <rcc rId="14745" sId="5" numFmtId="4">
    <oc r="C76">
      <v>3723.4219699999999</v>
    </oc>
    <nc r="C76">
      <v>2777.16</v>
    </nc>
  </rcc>
  <rcc rId="14746" sId="5" numFmtId="4">
    <oc r="D76">
      <v>3596.4996700000002</v>
    </oc>
    <nc r="D76">
      <v>34.097999999999999</v>
    </nc>
  </rcc>
  <rcc rId="14747" sId="5" numFmtId="4">
    <oc r="C77">
      <v>29.21</v>
    </oc>
    <nc r="C77">
      <v>0</v>
    </nc>
  </rcc>
  <rcc rId="14748" sId="5" numFmtId="4">
    <oc r="D77">
      <v>29.21</v>
    </oc>
    <nc r="D77">
      <v>0</v>
    </nc>
  </rcc>
  <rcc rId="14749" sId="5" numFmtId="4">
    <oc r="C81">
      <v>4296.3657000000003</v>
    </oc>
    <nc r="C81">
      <v>1088.7</v>
    </nc>
  </rcc>
  <rcc rId="14750" sId="5" numFmtId="4">
    <oc r="D81">
      <v>4294.2074300000004</v>
    </oc>
    <nc r="D81">
      <v>0</v>
    </nc>
  </rcc>
  <rcc rId="14751" sId="5" numFmtId="4">
    <oc r="C84">
      <v>3138.51406</v>
    </oc>
    <nc r="C84">
      <v>3243.5</v>
    </nc>
  </rcc>
  <rcc rId="14752" sId="5" numFmtId="4">
    <oc r="D84">
      <v>3138.5135599999999</v>
    </oc>
    <nc r="D84">
      <v>220</v>
    </nc>
  </rcc>
  <rcc rId="14753" sId="5" numFmtId="4">
    <oc r="C92">
      <v>9.0900400000000001</v>
    </oc>
    <nc r="C92">
      <v>22.411000000000001</v>
    </nc>
  </rcc>
  <rcc rId="14754" sId="5" numFmtId="4">
    <oc r="D92">
      <v>9.09</v>
    </oc>
    <nc r="D9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14599" sId="4" numFmtId="4">
    <oc r="C54">
      <v>1092.816</v>
    </oc>
    <nc r="C54">
      <v>1114</v>
    </nc>
  </rcc>
  <rcc rId="14600" sId="4" numFmtId="4">
    <oc r="D54">
      <v>1073.99316</v>
    </oc>
    <nc r="D54">
      <v>20</v>
    </nc>
  </rcc>
  <rcc rId="14601" sId="4" numFmtId="4">
    <oc r="C59">
      <v>4.016</v>
    </oc>
    <nc r="C59">
      <v>2.2749999999999999</v>
    </nc>
  </rcc>
  <rcc rId="14602" sId="4" numFmtId="4">
    <oc r="D59">
      <v>4.0155000000000003</v>
    </oc>
    <nc r="D59">
      <v>0</v>
    </nc>
  </rcc>
  <rcc rId="14603" sId="4" numFmtId="4">
    <oc r="C61">
      <v>89.944999999999993</v>
    </oc>
    <nc r="C61">
      <v>89.605000000000004</v>
    </nc>
  </rcc>
  <rcc rId="14604" sId="4" numFmtId="4">
    <oc r="D61">
      <v>89.944999999999993</v>
    </oc>
    <nc r="D61">
      <v>2</v>
    </nc>
  </rcc>
  <rcc rId="14605" sId="4" numFmtId="4">
    <oc r="C65">
      <v>2.7031100000000001</v>
    </oc>
    <nc r="C65">
      <v>1</v>
    </nc>
  </rcc>
  <rcc rId="14606" sId="4" numFmtId="4">
    <oc r="D65">
      <v>2.7031100000000001</v>
    </oc>
    <nc r="D65">
      <v>0</v>
    </nc>
  </rcc>
  <rcc rId="14607" sId="4" numFmtId="4">
    <oc r="C66">
      <v>7.3419999999999996</v>
    </oc>
    <nc r="C66">
      <v>7</v>
    </nc>
  </rcc>
  <rcc rId="14608" sId="4" numFmtId="4">
    <oc r="D66">
      <v>7.3419800000000004</v>
    </oc>
    <nc r="D66">
      <v>0</v>
    </nc>
  </rcc>
  <rcc rId="14609" sId="4" numFmtId="4">
    <oc r="D67">
      <v>2</v>
    </oc>
    <nc r="D67">
      <v>0</v>
    </nc>
  </rcc>
  <rcc rId="14610" sId="4" numFmtId="4">
    <oc r="C69">
      <v>4.0214999999999996</v>
    </oc>
    <nc r="C69">
      <v>7.1580000000000004</v>
    </nc>
  </rcc>
  <rcc rId="14611" sId="4" numFmtId="4">
    <oc r="D69">
      <v>4.0214999999999996</v>
    </oc>
    <nc r="D69">
      <v>0</v>
    </nc>
  </rcc>
  <rcc rId="14612" sId="4" numFmtId="4">
    <oc r="C70">
      <v>20.000889999999998</v>
    </oc>
    <nc r="C70">
      <v>0</v>
    </nc>
  </rcc>
  <rcc rId="14613" sId="4" numFmtId="4">
    <oc r="D70">
      <v>19.72</v>
    </oc>
    <nc r="D70">
      <v>0</v>
    </nc>
  </rcc>
  <rcc rId="14614" sId="4" numFmtId="4">
    <oc r="C71">
      <v>2059.4047599999999</v>
    </oc>
    <nc r="C71">
      <v>643.21</v>
    </nc>
  </rcc>
  <rcc rId="14615" sId="4" numFmtId="4">
    <oc r="D71">
      <v>2027.1092100000001</v>
    </oc>
    <nc r="D71">
      <v>0</v>
    </nc>
  </rcc>
  <rcc rId="14616" sId="4" numFmtId="4">
    <oc r="C72">
      <v>107.712</v>
    </oc>
    <nc r="C72">
      <v>0</v>
    </nc>
  </rcc>
  <rcc rId="14617" sId="4" numFmtId="4">
    <oc r="D72">
      <v>107.712</v>
    </oc>
    <nc r="D72">
      <v>0</v>
    </nc>
  </rcc>
  <rcc rId="14618" sId="4" numFmtId="4">
    <oc r="C76">
      <v>610.0385</v>
    </oc>
    <nc r="C76">
      <v>275.04700000000003</v>
    </nc>
  </rcc>
  <rcc rId="14619" sId="4" numFmtId="4">
    <oc r="D76">
      <v>608.92861000000005</v>
    </oc>
    <nc r="D76">
      <v>0</v>
    </nc>
  </rcc>
  <rcc rId="14620" sId="4" numFmtId="4">
    <oc r="C78">
      <v>273.65499999999997</v>
    </oc>
    <nc r="C78">
      <v>283</v>
    </nc>
  </rcc>
  <rcc rId="14621" sId="4" numFmtId="4">
    <oc r="D78">
      <v>273.65499999999997</v>
    </oc>
    <nc r="D78">
      <v>24</v>
    </nc>
  </rcc>
  <rcc rId="14622" sId="4" numFmtId="4">
    <oc r="C85">
      <v>14</v>
    </oc>
    <nc r="C85">
      <v>2</v>
    </nc>
  </rcc>
  <rcc rId="14623" sId="4" numFmtId="4">
    <oc r="D85">
      <v>13.95</v>
    </oc>
    <nc r="D85">
      <v>0</v>
    </nc>
  </rcc>
  <rcc rId="14624" sId="4" numFmtId="4">
    <oc r="C57">
      <v>0</v>
    </oc>
    <nc r="C57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14506" sId="4" numFmtId="4">
    <oc r="C6">
      <v>73.849999999999994</v>
    </oc>
    <nc r="C6">
      <v>89.8</v>
    </nc>
  </rcc>
  <rcc rId="14507" sId="4" numFmtId="4">
    <oc r="D6">
      <v>78.972350000000006</v>
    </oc>
    <nc r="D6">
      <v>1.4789399999999999</v>
    </nc>
  </rcc>
  <rcc rId="14508" sId="4" numFmtId="4">
    <oc r="C8">
      <v>82.8</v>
    </oc>
    <nc r="C8">
      <v>95.74</v>
    </nc>
  </rcc>
  <rcc rId="14509" sId="4" numFmtId="4">
    <oc r="D8">
      <v>122.70061</v>
    </oc>
    <nc r="D8">
      <v>9.7181300000000004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</formula>
    <oldFormula>район!$32:$32,район!$51:$51,район!$94:$94,район!$122:$124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1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9345" sId="3" numFmtId="4">
    <oc r="C97">
      <v>59211.13</v>
    </oc>
    <nc r="C97">
      <v>71954.33</v>
    </nc>
  </rcc>
  <rcc rId="19346" sId="3" numFmtId="4">
    <oc r="D97">
      <v>0</v>
    </oc>
    <nc r="D97">
      <v>4087.3283099999999</v>
    </nc>
  </rcc>
  <rcc rId="19347" sId="3" numFmtId="4">
    <oc r="D98">
      <v>0</v>
    </oc>
    <nc r="D98">
      <v>33.985999999999997</v>
    </nc>
  </rcc>
  <rcc rId="19348" sId="3" numFmtId="4">
    <oc r="D100">
      <v>0</v>
    </oc>
    <nc r="D100">
      <v>79.174729999999997</v>
    </nc>
  </rcc>
  <rcc rId="19349" sId="3" numFmtId="4">
    <oc r="D106">
      <v>7623.0709999999999</v>
    </oc>
    <nc r="D106">
      <v>12585.0445</v>
    </nc>
  </rcc>
  <rcc rId="19350" sId="3" numFmtId="4">
    <oc r="D107">
      <v>21578.640309999999</v>
    </oc>
    <nc r="D107">
      <v>35542.90681</v>
    </nc>
  </rcc>
  <rcc rId="19351" sId="3" numFmtId="4">
    <oc r="D108">
      <v>598.42100000000005</v>
    </oc>
    <nc r="D108">
      <v>3375.7053500000002</v>
    </nc>
  </rcc>
  <rcc rId="19352" sId="3" numFmtId="4">
    <oc r="D109">
      <v>0</v>
    </oc>
    <nc r="D109">
      <v>9.74</v>
    </nc>
  </rcc>
  <rcc rId="19353" sId="3" numFmtId="4">
    <oc r="D110">
      <v>126.95393</v>
    </oc>
    <nc r="D110">
      <v>273.07132000000001</v>
    </nc>
  </rcc>
  <rcc rId="19354" sId="3" numFmtId="4">
    <oc r="D112">
      <v>1893.7260000000001</v>
    </oc>
    <nc r="D112">
      <v>4848.2140099999997</v>
    </nc>
  </rcc>
  <rcc rId="19355" sId="3" numFmtId="4">
    <oc r="D113">
      <v>0</v>
    </oc>
    <nc r="D113">
      <v>212.19300000000001</v>
    </nc>
  </rcc>
  <rcc rId="19356" sId="3" numFmtId="4">
    <oc r="D116">
      <v>104.44499999999999</v>
    </oc>
    <nc r="D116">
      <v>715.8175</v>
    </nc>
  </rcc>
  <rcc rId="19357" sId="3" numFmtId="4">
    <oc r="D117">
      <v>0</v>
    </oc>
    <nc r="D117">
      <v>111.81209</v>
    </nc>
  </rcc>
  <rcc rId="19358" sId="3" numFmtId="4">
    <oc r="D118">
      <v>0</v>
    </oc>
    <nc r="D118">
      <v>11.801640000000001</v>
    </nc>
  </rcc>
  <rcc rId="19359" sId="3" numFmtId="4">
    <oc r="D120">
      <v>10</v>
    </oc>
    <nc r="D120">
      <v>42.187100000000001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</formula>
    <oldFormula>район!$32:$32,район!$51:$51,район!$94:$94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5.xml><?xml version="1.0" encoding="utf-8"?>
<revisions xmlns="http://schemas.openxmlformats.org/spreadsheetml/2006/main" xmlns:r="http://schemas.openxmlformats.org/officeDocument/2006/relationships">
  <rcc rId="15091" sId="9">
    <oc r="A1" t="inlineStr">
      <is>
        <t xml:space="preserve">                     Анализ исполнения бюджета Москакасинского сельского поселения на 01.01.2020 г.</t>
      </is>
    </oc>
    <nc r="A1" t="inlineStr">
      <is>
        <t xml:space="preserve">                     Анализ исполнения бюджета Москакасинского сельского поселения на 01.02.2020 г.</t>
      </is>
    </nc>
  </rcc>
  <rcc rId="15092" sId="9">
    <oc r="C3" t="inlineStr">
      <is>
        <t>назначено на 2019 г.</t>
      </is>
    </oc>
    <nc r="C3" t="inlineStr">
      <is>
        <t>назначено на 2020 г.</t>
      </is>
    </nc>
  </rcc>
  <rcc rId="15093" sId="9">
    <oc r="D3" t="inlineStr">
      <is>
        <t>исполнен на 01.01.2020 г.</t>
      </is>
    </oc>
    <nc r="D3" t="inlineStr">
      <is>
        <t>исполнен на 01.02.2020 г.</t>
      </is>
    </nc>
  </rcc>
  <rcc rId="15094" sId="9">
    <oc r="C55" t="inlineStr">
      <is>
        <t>назначено на 2019 г.</t>
      </is>
    </oc>
    <nc r="C55" t="inlineStr">
      <is>
        <t>назначено на 2020 г.</t>
      </is>
    </nc>
  </rcc>
  <rcc rId="15095" sId="9">
    <oc r="D55" t="inlineStr">
      <is>
        <t>исполнено на 01.01.2020 г.</t>
      </is>
    </oc>
    <nc r="D55" t="inlineStr">
      <is>
        <t>исполнено на 01.02.2020 г.</t>
      </is>
    </nc>
  </rcc>
  <rcc rId="15096" sId="9" numFmtId="4">
    <oc r="C6">
      <v>1455.26</v>
    </oc>
    <nc r="C6">
      <v>1607.1</v>
    </nc>
  </rcc>
  <rcc rId="15097" sId="9" numFmtId="4">
    <oc r="D6">
      <v>1498.44714</v>
    </oc>
    <nc r="D6">
      <v>152.35122999999999</v>
    </nc>
  </rcc>
  <rcc rId="15098" sId="9" numFmtId="4">
    <oc r="C8">
      <v>248.38</v>
    </oc>
    <nc r="C8">
      <v>288.18</v>
    </nc>
  </rcc>
  <rcc rId="15099" sId="9" numFmtId="4">
    <oc r="D8">
      <v>368.10178000000002</v>
    </oc>
    <nc r="D8">
      <v>29.250710000000002</v>
    </nc>
  </rcc>
  <rcc rId="15100" sId="9" numFmtId="4">
    <oc r="C9">
      <v>2.665</v>
    </oc>
    <nc r="C9">
      <v>3.09</v>
    </nc>
  </rcc>
  <rcc rId="15101" sId="9" numFmtId="4">
    <oc r="D9">
      <v>2.7056399999999998</v>
    </oc>
    <nc r="D9">
      <v>0.19903000000000001</v>
    </nc>
  </rcc>
  <rcc rId="15102" sId="9" numFmtId="4">
    <oc r="C10">
      <v>414.85</v>
    </oc>
    <nc r="C10">
      <v>481.32</v>
    </nc>
  </rcc>
  <rcc rId="15103" sId="9" numFmtId="4">
    <oc r="D10">
      <v>491.78523999999999</v>
    </oc>
    <nc r="D10">
      <v>40.13646</v>
    </nc>
  </rcc>
  <rcc rId="15104" sId="9" numFmtId="4">
    <oc r="D11">
      <v>-53.903269999999999</v>
    </oc>
    <nc r="D11">
      <v>-5.3773400000000002</v>
    </nc>
  </rcc>
  <rcc rId="15105" sId="9" numFmtId="4">
    <oc r="D13">
      <v>27.633299999999998</v>
    </oc>
    <nc r="D13">
      <v>0</v>
    </nc>
  </rcc>
  <rcc rId="15106" sId="9" numFmtId="4">
    <oc r="C15">
      <v>295</v>
    </oc>
    <nc r="C15">
      <v>450</v>
    </nc>
  </rcc>
  <rcc rId="15107" sId="9" numFmtId="4">
    <oc r="D15">
      <v>238.49341999999999</v>
    </oc>
    <nc r="D15">
      <v>2.3001999999999998</v>
    </nc>
  </rcc>
  <rcc rId="15108" sId="9" numFmtId="4">
    <oc r="C16">
      <v>2240</v>
    </oc>
    <nc r="C16">
      <v>2151</v>
    </nc>
  </rcc>
  <rcc rId="15109" sId="9" numFmtId="4">
    <oc r="C18">
      <v>10</v>
    </oc>
    <nc r="C18">
      <v>8</v>
    </nc>
  </rcc>
  <rcc rId="15110" sId="9" numFmtId="4">
    <oc r="D18">
      <v>6.2</v>
    </oc>
    <nc r="D18">
      <v>0</v>
    </nc>
  </rcc>
  <rcc rId="15111" sId="9" numFmtId="4">
    <oc r="C35">
      <v>45</v>
    </oc>
    <nc r="C35">
      <v>0</v>
    </nc>
  </rcc>
  <rcc rId="15112" sId="9" numFmtId="4">
    <oc r="D35">
      <v>45.381860000000003</v>
    </oc>
    <nc r="D35">
      <v>0</v>
    </nc>
  </rcc>
  <rcc rId="15113" sId="9" numFmtId="4">
    <oc r="D37">
      <v>1.78</v>
    </oc>
    <nc r="D37">
      <v>-1.78</v>
    </nc>
  </rcc>
  <rcc rId="15114" sId="9" numFmtId="4">
    <oc r="D27">
      <v>0</v>
    </oc>
    <nc r="D27">
      <v>1.78</v>
    </nc>
  </rcc>
  <rcc rId="15115" sId="9" numFmtId="4">
    <oc r="C42">
      <v>300</v>
    </oc>
    <nc r="C42">
      <v>1300</v>
    </nc>
  </rcc>
  <rcc rId="15116" sId="9" numFmtId="4">
    <oc r="D42">
      <v>300</v>
    </oc>
    <nc r="D42">
      <v>0</v>
    </nc>
  </rcc>
  <rcc rId="15117" sId="9" numFmtId="4">
    <oc r="C43">
      <v>4250.3959999999997</v>
    </oc>
    <nc r="C43">
      <v>1124.1400000000001</v>
    </nc>
  </rcc>
  <rcc rId="15118" sId="9" numFmtId="4">
    <oc r="D43">
      <v>4250.3467099999998</v>
    </oc>
    <nc r="D43">
      <v>0</v>
    </nc>
  </rcc>
  <rcc rId="15119" sId="9" numFmtId="4">
    <oc r="C45">
      <v>181.68199999999999</v>
    </oc>
    <nc r="C45">
      <v>183.38800000000001</v>
    </nc>
  </rcc>
  <rcc rId="15120" sId="9" numFmtId="4">
    <oc r="D45">
      <v>181.68199999999999</v>
    </oc>
    <nc r="D45">
      <v>14.933299999999999</v>
    </nc>
  </rcc>
  <rcc rId="15121" sId="9" numFmtId="4">
    <oc r="C46">
      <v>335.51443999999998</v>
    </oc>
    <nc r="C46">
      <v>0</v>
    </nc>
  </rcc>
  <rcc rId="15122" sId="9" numFmtId="4">
    <oc r="D46">
      <v>331.71798999999999</v>
    </oc>
    <nc r="D46">
      <v>0</v>
    </nc>
  </rcc>
  <rcc rId="15123" sId="9" numFmtId="4">
    <oc r="C51">
      <v>887.46906999999999</v>
    </oc>
    <nc r="C51">
      <v>0</v>
    </nc>
  </rcc>
  <rcc rId="15124" sId="9" numFmtId="4">
    <oc r="D51">
      <v>887.46906999999999</v>
    </oc>
    <nc r="D51">
      <v>0</v>
    </nc>
  </rcc>
  <rcc rId="15125" sId="9" numFmtId="4">
    <oc r="D16">
      <v>2296.02792</v>
    </oc>
    <nc r="D16">
      <v>120.22599</v>
    </nc>
  </rcc>
  <rcc rId="15126" sId="9" numFmtId="34">
    <oc r="C59">
      <v>2115.3229999999999</v>
    </oc>
    <nc r="C59">
      <v>2193.3000000000002</v>
    </nc>
  </rcc>
  <rcc rId="15127" sId="9" numFmtId="34">
    <oc r="D59">
      <v>2089.7121000000002</v>
    </oc>
    <nc r="D59">
      <v>40.363869999999999</v>
    </nc>
  </rcc>
  <rcc rId="15128" sId="9" numFmtId="34">
    <oc r="C62">
      <v>0</v>
    </oc>
    <nc r="C62">
      <v>32</v>
    </nc>
  </rcc>
  <rcc rId="15129" sId="9" numFmtId="34">
    <oc r="C63">
      <v>1</v>
    </oc>
    <nc r="C63">
      <v>5</v>
    </nc>
  </rcc>
  <rcc rId="15130" sId="9" numFmtId="34">
    <oc r="C64">
      <v>10.477</v>
    </oc>
    <nc r="C64">
      <v>4.4320000000000004</v>
    </nc>
  </rcc>
  <rcc rId="15131" sId="9" numFmtId="34">
    <oc r="D64">
      <v>10.477</v>
    </oc>
    <nc r="D64">
      <v>0</v>
    </nc>
  </rcc>
  <rcc rId="15132" sId="9" numFmtId="34">
    <oc r="C66">
      <v>179.892</v>
    </oc>
    <nc r="C66">
      <v>179.208</v>
    </nc>
  </rcc>
  <rcc rId="15133" sId="9" numFmtId="34">
    <oc r="D66">
      <v>179.892</v>
    </oc>
    <nc r="D66">
      <v>4.8</v>
    </nc>
  </rcc>
  <rcc rId="15134" sId="9" numFmtId="34">
    <oc r="C70">
      <v>0</v>
    </oc>
    <nc r="C70">
      <v>1.6</v>
    </nc>
  </rcc>
  <rcc rId="15135" sId="9" numFmtId="34">
    <oc r="C71">
      <v>102.38826</v>
    </oc>
    <nc r="C71">
      <v>2.4</v>
    </nc>
  </rcc>
  <rcc rId="15136" sId="9" numFmtId="34">
    <oc r="D71">
      <v>102.38826</v>
    </oc>
    <nc r="D71">
      <v>0</v>
    </nc>
  </rcc>
  <rcc rId="15137" sId="9" numFmtId="34">
    <oc r="C72">
      <v>0</v>
    </oc>
    <nc r="C72">
      <v>2</v>
    </nc>
  </rcc>
  <rcc rId="15138" sId="9" numFmtId="34">
    <oc r="C74">
      <v>4.0214999999999996</v>
    </oc>
    <nc r="C74">
      <v>10.021000000000001</v>
    </nc>
  </rcc>
  <rcc rId="15139" sId="9" numFmtId="34">
    <oc r="D74">
      <v>4.0214999999999996</v>
    </oc>
    <nc r="D74">
      <v>0</v>
    </nc>
  </rcc>
  <rcc rId="15140" sId="9" numFmtId="34">
    <oc r="C75">
      <v>494.43554</v>
    </oc>
    <nc r="C75">
      <v>1579.519</v>
    </nc>
  </rcc>
  <rcc rId="15141" sId="9" numFmtId="34">
    <oc r="D75">
      <v>494.43554</v>
    </oc>
    <nc r="D75">
      <v>0</v>
    </nc>
  </rcc>
  <rcc rId="15142" sId="9" numFmtId="34">
    <oc r="C76">
      <v>6306.4701400000004</v>
    </oc>
    <nc r="C76">
      <v>1896.73</v>
    </nc>
  </rcc>
  <rcc rId="15143" sId="9" numFmtId="34">
    <oc r="D76">
      <v>6300.0498500000003</v>
    </oc>
    <nc r="D76">
      <v>0</v>
    </nc>
  </rcc>
  <rcc rId="15144" sId="9" numFmtId="34">
    <oc r="C77">
      <v>32.712049999999998</v>
    </oc>
    <nc r="C77">
      <v>0</v>
    </nc>
  </rcc>
  <rcc rId="15145" sId="9" numFmtId="34">
    <oc r="D77">
      <v>32.712049999999998</v>
    </oc>
    <nc r="D77">
      <v>0</v>
    </nc>
  </rcc>
  <rcc rId="15146" sId="9" numFmtId="34">
    <oc r="C81">
      <v>651.59676000000002</v>
    </oc>
    <nc r="C81">
      <v>476.00799999999998</v>
    </nc>
  </rcc>
  <rcc rId="15147" sId="9" numFmtId="34">
    <oc r="D81">
      <v>650.59676000000002</v>
    </oc>
    <nc r="D81">
      <v>57.517620000000001</v>
    </nc>
  </rcc>
  <rcc rId="15148" sId="9" numFmtId="34">
    <oc r="C84">
      <v>1411.7</v>
    </oc>
    <nc r="C84">
      <v>1212</v>
    </nc>
  </rcc>
  <rcc rId="15149" sId="9" numFmtId="34">
    <oc r="D84">
      <v>1145.2840000000001</v>
    </oc>
    <nc r="D84">
      <v>0</v>
    </nc>
  </rcc>
  <rcc rId="15150" sId="9" numFmtId="34">
    <oc r="C94">
      <v>30</v>
    </oc>
    <nc r="C94">
      <v>32</v>
    </nc>
  </rcc>
  <rcc rId="15151" sId="9" numFmtId="34">
    <oc r="D94">
      <v>30</v>
    </oc>
    <nc r="D9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CP18">
    <dxf>
      <numFmt numFmtId="4" formatCode="#,##0.00"/>
    </dxf>
  </rfmt>
  <rfmt sheetId="2" sqref="CP18">
    <dxf>
      <numFmt numFmtId="187" formatCode="#,##0.000"/>
    </dxf>
  </rfmt>
  <rfmt sheetId="2" sqref="CP18">
    <dxf>
      <numFmt numFmtId="186" formatCode="#,##0.0000"/>
    </dxf>
  </rfmt>
  <rfmt sheetId="2" sqref="CO18">
    <dxf>
      <numFmt numFmtId="4" formatCode="#,##0.00"/>
    </dxf>
  </rfmt>
  <rfmt sheetId="2" sqref="CO18">
    <dxf>
      <numFmt numFmtId="187" formatCode="#,##0.000"/>
    </dxf>
  </rfmt>
  <rfmt sheetId="2" sqref="CO18">
    <dxf>
      <numFmt numFmtId="186" formatCode="#,##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18419" sId="19">
    <oc r="A1" t="inlineStr">
      <is>
        <t xml:space="preserve">                     Анализ исполнения бюджета Ярославского сельского поселения на 01.02.2020 г.</t>
      </is>
    </oc>
    <nc r="A1" t="inlineStr">
      <is>
        <t xml:space="preserve">                     Анализ исполнения бюджета Ярославского сельского поселения на 01.03.2020 г.</t>
      </is>
    </nc>
  </rcc>
  <rcc rId="18420" sId="19">
    <oc r="D3" t="inlineStr">
      <is>
        <t>исполнен на 01.02.2020 г.</t>
      </is>
    </oc>
    <nc r="D3" t="inlineStr">
      <is>
        <t>исполнен на 01.03.2020 г.</t>
      </is>
    </nc>
  </rcc>
  <rcc rId="18421" sId="19">
    <oc r="D51" t="inlineStr">
      <is>
        <t>исполнено на 01.02.2020 г.</t>
      </is>
    </oc>
    <nc r="D51" t="inlineStr">
      <is>
        <t>исполнено на 01.03.2020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17727" sId="12">
    <oc r="D54" t="inlineStr">
      <is>
        <t>исполнено на 01.02.2020 г.</t>
      </is>
    </oc>
    <nc r="D54" t="inlineStr">
      <is>
        <t>исполнено на 01.03.2020 г.</t>
      </is>
    </nc>
  </rcc>
  <rcc rId="17728" sId="12">
    <oc r="D3" t="inlineStr">
      <is>
        <t>исполнен на 01.02.2020 г.</t>
      </is>
    </oc>
    <nc r="D3" t="inlineStr">
      <is>
        <t>исполнен на 01.03.2020 г.</t>
      </is>
    </nc>
  </rcc>
  <rcc rId="17729" sId="12">
    <oc r="A1" t="inlineStr">
      <is>
        <t xml:space="preserve">                     Анализ исполнения бюджета Тораевского сельского поселения на 01.02.2020 г.</t>
      </is>
    </oc>
    <nc r="A1" t="inlineStr">
      <is>
        <t xml:space="preserve">                     Анализ исполнения бюджета Тораевского сельского поселения на 01.03.2020 г.</t>
      </is>
    </nc>
  </rcc>
  <rcc rId="17730" sId="12" numFmtId="4">
    <oc r="D6">
      <v>5.21997</v>
    </oc>
    <nc r="D6">
      <v>15.22302</v>
    </nc>
  </rcc>
  <rcc rId="17731" sId="12" numFmtId="4">
    <oc r="D8">
      <v>32.041069999999998</v>
    </oc>
    <nc r="D8">
      <v>59.29571</v>
    </nc>
  </rcc>
  <rcc rId="17732" sId="12" numFmtId="4">
    <oc r="D9">
      <v>0.218</v>
    </oc>
    <nc r="D9">
      <v>0.37158000000000002</v>
    </nc>
  </rcc>
  <rcc rId="17733" sId="12" numFmtId="4">
    <oc r="D10">
      <v>43.965269999999997</v>
    </oc>
    <nc r="D10">
      <v>84.877989999999997</v>
    </nc>
  </rcc>
  <rcc rId="17734" sId="12" numFmtId="4">
    <oc r="D11">
      <v>-5.8903100000000004</v>
    </oc>
    <nc r="D11">
      <v>-11.576180000000001</v>
    </nc>
  </rcc>
  <rcc rId="17735" sId="12" numFmtId="4">
    <oc r="D15">
      <v>1.7590000000000001E-2</v>
    </oc>
    <nc r="D15">
      <v>0.87050000000000005</v>
    </nc>
  </rcc>
  <rcc rId="17736" sId="12" numFmtId="4">
    <oc r="D16">
      <v>2.5541900000000002</v>
    </oc>
    <nc r="D16">
      <v>16.415990000000001</v>
    </nc>
  </rcc>
  <rcc rId="17737" sId="12" numFmtId="4">
    <oc r="D18">
      <v>0.2</v>
    </oc>
    <nc r="D18">
      <v>0.6</v>
    </nc>
  </rcc>
  <rcc rId="17738" sId="12" numFmtId="4">
    <oc r="D28">
      <v>0.54335</v>
    </oc>
    <nc r="D28">
      <v>1.0867</v>
    </nc>
  </rcc>
  <rcc rId="17739" sId="12" numFmtId="4">
    <nc r="D30">
      <v>0.30717</v>
    </nc>
  </rcc>
  <rcc rId="17740" sId="12" numFmtId="4">
    <nc r="C30">
      <v>0</v>
    </nc>
  </rcc>
  <rcc rId="17741" sId="12" numFmtId="4">
    <nc r="D31">
      <v>0</v>
    </nc>
  </rcc>
  <rcc rId="17742" sId="12" numFmtId="4">
    <oc r="D42">
      <v>89.956999999999994</v>
    </oc>
    <nc r="D42">
      <v>179.91399999999999</v>
    </nc>
  </rcc>
  <rcc rId="17743" sId="12" numFmtId="4">
    <oc r="D45">
      <v>14.933299999999999</v>
    </oc>
    <nc r="D45">
      <v>29.866599999999998</v>
    </nc>
  </rcc>
  <rcc rId="17744" sId="12" numFmtId="34">
    <oc r="D58">
      <v>25.763010000000001</v>
    </oc>
    <nc r="D58">
      <v>118.76015</v>
    </nc>
  </rcc>
  <rcc rId="17745" sId="12" numFmtId="34">
    <oc r="D65">
      <v>4.8</v>
    </oc>
    <nc r="D65">
      <v>20.593250000000001</v>
    </nc>
  </rcc>
  <rcc rId="17746" sId="12" numFmtId="34">
    <oc r="C74">
      <v>0</v>
    </oc>
    <nc r="C74">
      <v>2</v>
    </nc>
  </rcc>
  <rcc rId="17747" sId="12" numFmtId="34">
    <oc r="D74">
      <v>0</v>
    </oc>
    <nc r="D74">
      <v>2</v>
    </nc>
  </rcc>
  <rcc rId="17748" sId="12" numFmtId="34">
    <oc r="C76">
      <v>2342.7109999999998</v>
    </oc>
    <nc r="C76">
      <v>4250.8109999999997</v>
    </nc>
  </rcc>
  <rcc rId="17749" sId="12" numFmtId="34">
    <oc r="C81">
      <v>267.90499999999997</v>
    </oc>
    <nc r="C81">
      <v>265.90499999999997</v>
    </nc>
  </rcc>
  <rcc rId="17750" sId="12" numFmtId="34">
    <oc r="D83">
      <v>92.424999999999997</v>
    </oc>
    <nc r="D83">
      <v>190.12799999999999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8702" sId="19" numFmtId="34">
    <oc r="D79">
      <v>17.666</v>
    </oc>
    <nc r="D79">
      <v>173.666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8512" sId="14">
    <oc r="D54" t="inlineStr">
      <is>
        <t>исполнено на 01.02.2020 г.</t>
      </is>
    </oc>
    <nc r="D54" t="inlineStr">
      <is>
        <t>исполнено на 01.03.2020 г.</t>
      </is>
    </nc>
  </rcc>
  <rcc rId="18513" sId="14">
    <oc r="D3" t="inlineStr">
      <is>
        <t>исполнен на 01.02.2020 г.</t>
      </is>
    </oc>
    <nc r="D3" t="inlineStr">
      <is>
        <t>исполнен на 01.03.2020 г.</t>
      </is>
    </nc>
  </rcc>
  <rcc rId="18514" sId="14">
    <oc r="A1" t="inlineStr">
      <is>
        <t xml:space="preserve">                     Анализ исполнения бюджета Чуманкасинского сельского поселения на 01.02.2020 г.</t>
      </is>
    </oc>
    <nc r="A1" t="inlineStr">
      <is>
        <t xml:space="preserve">                     Анализ исполнения бюджета Чуманкасинского сельского поселения на 01.03.2020 г.</t>
      </is>
    </nc>
  </rcc>
  <rcc rId="18515" sId="14" numFmtId="4">
    <oc r="D6">
      <v>2.00969</v>
    </oc>
    <nc r="D6">
      <v>8.99573</v>
    </nc>
  </rcc>
  <rcc rId="18516" sId="14" numFmtId="4">
    <oc r="D8">
      <v>13.95181</v>
    </oc>
    <nc r="D8">
      <v>25.819459999999999</v>
    </nc>
  </rcc>
  <rcc rId="18517" sId="14" numFmtId="4">
    <oc r="D9">
      <v>9.493E-2</v>
    </oc>
    <nc r="D9">
      <v>0.16178999999999999</v>
    </nc>
  </rcc>
  <rcc rId="18518" sId="14" numFmtId="4">
    <oc r="D10">
      <v>19.14404</v>
    </oc>
    <nc r="D10">
      <v>36.958880000000001</v>
    </nc>
  </rcc>
  <rcc rId="18519" sId="14" numFmtId="4">
    <oc r="D11">
      <v>-2.5648599999999999</v>
    </oc>
    <nc r="D11">
      <v>-5.04068</v>
    </nc>
  </rcc>
  <rcc rId="18520" sId="14" numFmtId="4">
    <oc r="D15">
      <v>0.36249999999999999</v>
    </oc>
    <nc r="D15">
      <v>0.80608999999999997</v>
    </nc>
  </rcc>
  <rcc rId="18521" sId="14" numFmtId="4">
    <oc r="D16">
      <v>7.0626800000000003</v>
    </oc>
    <nc r="D16">
      <v>18.121690000000001</v>
    </nc>
  </rcc>
  <rcc rId="18522" sId="14" numFmtId="4">
    <oc r="D18">
      <v>0</v>
    </oc>
    <nc r="D18">
      <v>0.7</v>
    </nc>
  </rcc>
  <rcc rId="18523" sId="14" numFmtId="4">
    <oc r="D42">
      <v>172.03039999999999</v>
    </oc>
    <nc r="D42">
      <v>344.06079999999997</v>
    </nc>
  </rcc>
  <rcc rId="18524" sId="14" numFmtId="4">
    <oc r="D44">
      <v>0</v>
    </oc>
    <nc r="D44">
      <v>65.064999999999998</v>
    </nc>
  </rcc>
  <rcc rId="18525" sId="14" numFmtId="4">
    <oc r="D45">
      <v>7.4667000000000003</v>
    </oc>
    <nc r="D45">
      <v>14.933400000000001</v>
    </nc>
  </rcc>
  <rcc rId="18526" sId="14" numFmtId="4">
    <oc r="D30">
      <v>0</v>
    </oc>
    <nc r="D30">
      <v>2.1145</v>
    </nc>
  </rcc>
  <rcc rId="18527" sId="14" numFmtId="34">
    <oc r="D58">
      <v>23.839120000000001</v>
    </oc>
    <nc r="D58">
      <v>171.32400999999999</v>
    </nc>
  </rcc>
  <rcc rId="18528" sId="14" numFmtId="34">
    <oc r="D65">
      <v>2</v>
    </oc>
    <nc r="D65">
      <v>14.120240000000001</v>
    </nc>
  </rcc>
  <rcc rId="18529" sId="14" numFmtId="34">
    <oc r="C75">
      <v>1193.877</v>
    </oc>
    <nc r="C75">
      <v>2539.9769999999999</v>
    </nc>
  </rcc>
  <rcc rId="18530" sId="14" numFmtId="34">
    <oc r="D75">
      <v>7.23</v>
    </oc>
    <nc r="D75">
      <v>79.524000000000001</v>
    </nc>
  </rcc>
  <rcc rId="18531" sId="14" numFmtId="34">
    <oc r="D82">
      <v>85.2</v>
    </oc>
    <nc r="D82">
      <v>170.4</v>
    </nc>
  </rcc>
  <rcc rId="18532" sId="14" numFmtId="34">
    <oc r="D89">
      <v>2.25</v>
    </oc>
    <nc r="D89">
      <v>3.32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18030" sId="13" numFmtId="34">
    <oc r="D56">
      <v>24</v>
    </oc>
    <nc r="D56">
      <v>104.74578</v>
    </nc>
  </rcc>
  <rcc rId="18031" sId="13" numFmtId="34">
    <oc r="D63">
      <v>2</v>
    </oc>
    <nc r="D63">
      <v>9.8966399999999997</v>
    </nc>
  </rcc>
  <rcc rId="18032" sId="13" numFmtId="34">
    <oc r="C72">
      <v>360</v>
    </oc>
    <nc r="C72">
      <v>1006.5</v>
    </nc>
  </rcc>
  <rcc rId="18033" sId="13" numFmtId="34">
    <oc r="C73">
      <v>951.77</v>
    </oc>
    <nc r="C73">
      <v>1648.97</v>
    </nc>
  </rcc>
  <rcc rId="18034" sId="13" numFmtId="34">
    <oc r="D73">
      <v>9.1999999999999993</v>
    </oc>
    <nc r="D73">
      <v>96.501000000000005</v>
    </nc>
  </rcc>
  <rcc rId="18035" sId="13" numFmtId="34">
    <oc r="C78">
      <v>289.32900000000001</v>
    </oc>
    <nc r="C78">
      <v>468.12900000000002</v>
    </nc>
  </rcc>
  <rcc rId="18036" sId="13" numFmtId="34">
    <oc r="D80">
      <v>75</v>
    </oc>
    <nc r="D80">
      <v>158.99247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c rId="17854" sId="13">
    <oc r="D52" t="inlineStr">
      <is>
        <t>исполнено на 01.02.2020 г.</t>
      </is>
    </oc>
    <nc r="D52" t="inlineStr">
      <is>
        <t>исполнено на 01.03.2020 г.</t>
      </is>
    </nc>
  </rcc>
  <rcc rId="17855" sId="13">
    <oc r="D3" t="inlineStr">
      <is>
        <t>исполнен на 01.02.2020 г.</t>
      </is>
    </oc>
    <nc r="D3" t="inlineStr">
      <is>
        <t>исполнен на 01.03.2020 г.</t>
      </is>
    </nc>
  </rcc>
  <rcc rId="17856" sId="13">
    <oc r="A1" t="inlineStr">
      <is>
        <t xml:space="preserve">                     Анализ исполнения бюджета Хорнойского сельского поселения на 01.02.2020 г.</t>
      </is>
    </oc>
    <nc r="A1" t="inlineStr">
      <is>
        <t xml:space="preserve">                     Анализ исполнения бюджета Хорнойского сельского поселения на 01.03.2020 г.</t>
      </is>
    </nc>
  </rcc>
  <rcc rId="17857" sId="13" numFmtId="4">
    <oc r="D6">
      <v>0.33015</v>
    </oc>
    <nc r="D6">
      <v>0.99500999999999995</v>
    </nc>
  </rcc>
  <rcc rId="17858" sId="13" numFmtId="4">
    <oc r="D8">
      <v>14.62534</v>
    </oc>
    <nc r="D8">
      <v>27.06589</v>
    </nc>
  </rcc>
  <rcc rId="17859" sId="13" numFmtId="4">
    <oc r="D9">
      <v>9.9510000000000001E-2</v>
    </oc>
    <nc r="D9">
      <v>0.16963</v>
    </nc>
  </rcc>
  <rcc rId="17860" sId="13" numFmtId="4">
    <oc r="D10">
      <v>20.06823</v>
    </oc>
    <nc r="D10">
      <v>38.743099999999998</v>
    </nc>
  </rcc>
  <rcc rId="17861" sId="13" numFmtId="4">
    <oc r="D11">
      <v>-2.6886399999999999</v>
    </oc>
    <nc r="D11">
      <v>-5.2839999999999998</v>
    </nc>
  </rcc>
  <rcc rId="17862" sId="13" numFmtId="4">
    <oc r="D13">
      <v>0</v>
    </oc>
    <nc r="D13">
      <v>1.1193</v>
    </nc>
  </rcc>
  <rcc rId="17863" sId="13" numFmtId="4">
    <oc r="D15">
      <v>0.17971999999999999</v>
    </oc>
    <nc r="D15">
      <v>2.2535699999999999</v>
    </nc>
  </rcc>
  <rcc rId="17864" sId="13" numFmtId="4">
    <oc r="D16">
      <v>9.0491100000000007</v>
    </oc>
    <nc r="D16">
      <v>20.06934</v>
    </nc>
  </rcc>
  <rcc rId="17865" sId="13" numFmtId="4">
    <oc r="D18">
      <v>0.75</v>
    </oc>
    <nc r="D18">
      <v>1.35</v>
    </nc>
  </rcc>
  <rcc rId="17866" sId="13" numFmtId="4">
    <oc r="D39">
      <v>113.206</v>
    </oc>
    <nc r="D39">
      <v>226.41200000000001</v>
    </nc>
  </rcc>
  <rcc rId="17867" sId="13" numFmtId="4">
    <nc r="D42">
      <v>82.8</v>
    </nc>
  </rcc>
  <rfmt sheetId="13" sqref="D38">
    <dxf>
      <numFmt numFmtId="2" formatCode="0.00"/>
    </dxf>
  </rfmt>
  <rfmt sheetId="13" sqref="D38">
    <dxf>
      <numFmt numFmtId="183" formatCode="0.000"/>
    </dxf>
  </rfmt>
  <rfmt sheetId="13" sqref="D38">
    <dxf>
      <numFmt numFmtId="174" formatCode="0.0000"/>
    </dxf>
  </rfmt>
  <rfmt sheetId="13" sqref="D38">
    <dxf>
      <numFmt numFmtId="168" formatCode="0.00000"/>
    </dxf>
  </rfmt>
  <rfmt sheetId="13" sqref="D38">
    <dxf>
      <numFmt numFmtId="173" formatCode="0.000000"/>
    </dxf>
  </rfmt>
  <rcc rId="17868" sId="13" numFmtId="4">
    <oc r="D43">
      <v>7.4668000000000001</v>
    </oc>
    <nc r="D43">
      <v>14.9336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18155" sId="18" numFmtId="4">
    <oc r="D6">
      <v>18.425709999999999</v>
    </oc>
    <nc r="D6">
      <v>27.518229999999999</v>
    </nc>
  </rcc>
  <rcc rId="18156" sId="18" numFmtId="4">
    <oc r="D8">
      <v>32.425939999999997</v>
    </oc>
    <nc r="D8">
      <v>60.007980000000003</v>
    </nc>
  </rcc>
  <rcc rId="18157" sId="18" numFmtId="4">
    <oc r="D9">
      <v>0.22064</v>
    </oc>
    <nc r="D9">
      <v>0.37607000000000002</v>
    </nc>
  </rcc>
  <rcc rId="18158" sId="18" numFmtId="4">
    <oc r="D10">
      <v>44.493380000000002</v>
    </oc>
    <nc r="D10">
      <v>85.897530000000003</v>
    </nc>
  </rcc>
  <rcc rId="18159" sId="18" numFmtId="4">
    <oc r="D11">
      <v>-5.9610399999999997</v>
    </oc>
    <nc r="D11">
      <v>-11.715210000000001</v>
    </nc>
  </rcc>
  <rcc rId="18160" sId="18" numFmtId="4">
    <oc r="D15">
      <v>10.518549999999999</v>
    </oc>
    <nc r="D15">
      <v>26.41508</v>
    </nc>
  </rcc>
  <rcc rId="18161" sId="18" numFmtId="4">
    <oc r="D16">
      <v>36.364559999999997</v>
    </oc>
    <nc r="D16">
      <v>112.04268</v>
    </nc>
  </rcc>
  <rcc rId="18162" sId="18" numFmtId="4">
    <oc r="D27">
      <v>0.13100000000000001</v>
    </oc>
    <nc r="D27">
      <v>6.7556000000000003</v>
    </nc>
  </rcc>
  <rcc rId="18163" sId="18" numFmtId="4">
    <oc r="D42">
      <v>167.05500000000001</v>
    </oc>
    <nc r="D42">
      <v>334.11</v>
    </nc>
  </rcc>
  <rcc rId="18164" sId="18" numFmtId="4">
    <oc r="D44">
      <v>0</v>
    </oc>
    <nc r="D44">
      <v>86.399000000000001</v>
    </nc>
  </rcc>
  <rcc rId="18165" sId="18" numFmtId="4">
    <nc r="C47">
      <v>0</v>
    </nc>
  </rcc>
  <rcc rId="18166" sId="18" numFmtId="4">
    <nc r="D47">
      <v>0</v>
    </nc>
  </rcc>
  <rcc rId="18167" sId="18" numFmtId="4">
    <oc r="D45">
      <v>14.933299999999999</v>
    </oc>
    <nc r="D45">
      <v>29.866599999999998</v>
    </nc>
  </rcc>
  <rcc rId="18168" sId="18">
    <oc r="D55" t="inlineStr">
      <is>
        <t>исполнено на 01.03.2020 г.</t>
      </is>
    </oc>
    <nc r="D55" t="inlineStr">
      <is>
        <t>исполнено на 01.04.2020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18964" sId="3">
    <oc r="A2" t="inlineStr">
      <is>
        <t xml:space="preserve">                                                        Моргаушского района на 01.02.2020 г. </t>
      </is>
    </oc>
    <nc r="A2" t="inlineStr">
      <is>
        <t xml:space="preserve">                                                        Моргаушского района на 01.03.2020 г. </t>
      </is>
    </nc>
  </rcc>
  <rcc rId="18965" sId="3">
    <oc r="D3" t="inlineStr">
      <is>
        <t>исполнено на 01.02.2020 г.</t>
      </is>
    </oc>
    <nc r="D3" t="inlineStr">
      <is>
        <t>исполнено на 01.03.2020 г.</t>
      </is>
    </nc>
  </rcc>
  <rcc rId="18966" sId="3">
    <oc r="D74" t="inlineStr">
      <is>
        <t xml:space="preserve">исполнено на 01.02.2020 г. </t>
      </is>
    </oc>
    <nc r="D74" t="inlineStr">
      <is>
        <t xml:space="preserve">исполнено на 01.03.2020 г. </t>
      </is>
    </nc>
  </rcc>
  <rfmt sheetId="3" sqref="C71:D71">
    <dxf>
      <numFmt numFmtId="2" formatCode="0.00"/>
    </dxf>
  </rfmt>
  <rfmt sheetId="3" sqref="C71:D71">
    <dxf>
      <numFmt numFmtId="183" formatCode="0.000"/>
    </dxf>
  </rfmt>
  <rfmt sheetId="3" sqref="C71:D71">
    <dxf>
      <numFmt numFmtId="174" formatCode="0.0000"/>
    </dxf>
  </rfmt>
  <rfmt sheetId="3" sqref="C71:D71">
    <dxf>
      <numFmt numFmtId="168" formatCode="0.00000"/>
    </dxf>
  </rfmt>
  <rfmt sheetId="3" sqref="C71:D71">
    <dxf>
      <numFmt numFmtId="173" formatCode="0.000000"/>
    </dxf>
  </rfmt>
  <rfmt sheetId="3" sqref="C71:D71">
    <dxf>
      <numFmt numFmtId="168" formatCode="0.00000"/>
    </dxf>
  </rfmt>
  <rcc rId="18967" sId="3" numFmtId="4">
    <oc r="D6">
      <v>6628.9963100000004</v>
    </oc>
    <nc r="D6">
      <v>15990.18506</v>
    </nc>
  </rcc>
  <rcc rId="18968" sId="3" numFmtId="4">
    <oc r="D8">
      <v>202.06084000000001</v>
    </oc>
    <nc r="D8">
      <v>373.93695000000002</v>
    </nc>
  </rcc>
  <rcc rId="18969" sId="3" numFmtId="4">
    <oc r="D9">
      <v>1.37479</v>
    </oc>
    <nc r="D9">
      <v>2.3432499999999998</v>
    </nc>
  </rcc>
  <rcc rId="18970" sId="3" numFmtId="4">
    <oc r="D10">
      <v>277.25846999999999</v>
    </oc>
    <nc r="D10">
      <v>535.26657</v>
    </nc>
  </rcc>
  <rcc rId="18971" sId="3" numFmtId="4">
    <oc r="D11">
      <v>-37.146000000000001</v>
    </oc>
    <nc r="D11">
      <v>-73.002780000000001</v>
    </nc>
  </rcc>
  <rcc rId="18972" sId="3" numFmtId="4">
    <oc r="D13">
      <v>55.125419999999998</v>
    </oc>
    <nc r="D13">
      <v>123.1427</v>
    </nc>
  </rcc>
  <rcc rId="18973" sId="3" numFmtId="4">
    <oc r="D14">
      <v>1155.6078600000001</v>
    </oc>
    <nc r="D14">
      <v>1248.63258</v>
    </nc>
  </rcc>
  <rcc rId="18974" sId="3" numFmtId="4">
    <oc r="D15">
      <v>6.6696</v>
    </oc>
    <nc r="D15">
      <v>95.836299999999994</v>
    </nc>
  </rcc>
  <rcc rId="18975" sId="3" numFmtId="4">
    <nc r="C18">
      <v>0</v>
    </nc>
  </rcc>
  <rcc rId="18976" sId="3" numFmtId="4">
    <nc r="D18">
      <v>0</v>
    </nc>
  </rcc>
  <rcc rId="18977" sId="3" numFmtId="4">
    <nc r="C19">
      <v>0</v>
    </nc>
  </rcc>
  <rcc rId="18978" sId="3" numFmtId="4">
    <nc r="D19">
      <v>0</v>
    </nc>
  </rcc>
  <rcc rId="18979" sId="3" numFmtId="4">
    <oc r="D20">
      <v>103.65718</v>
    </oc>
    <nc r="D20">
      <v>189.27432999999999</v>
    </nc>
  </rcc>
  <rcc rId="18980" sId="3" numFmtId="4">
    <nc r="C21">
      <v>0</v>
    </nc>
  </rcc>
  <rcc rId="18981" sId="3" numFmtId="4">
    <nc r="D21">
      <v>0</v>
    </nc>
  </rcc>
  <rcc rId="18982" sId="3" numFmtId="4">
    <oc r="D23">
      <v>151.76920999999999</v>
    </oc>
    <nc r="D23">
      <v>479.49052999999998</v>
    </nc>
  </rcc>
  <rcc rId="18983" sId="3" numFmtId="4">
    <oc r="D25">
      <v>190.79982999999999</v>
    </oc>
    <nc r="D25">
      <v>565.42277999999999</v>
    </nc>
  </rcc>
  <rcc rId="18984" sId="3" numFmtId="4">
    <oc r="D27">
      <v>41.628749999999997</v>
    </oc>
    <nc r="D27">
      <v>101.37375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район!$32:$32</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1" sqref="D27" start="0" length="2147483647">
    <dxf>
      <font>
        <color rgb="FFFF0000"/>
      </font>
    </dxf>
  </rfmt>
  <rfmt sheetId="1" sqref="F27" start="0" length="2147483647">
    <dxf>
      <font>
        <color rgb="FFFF0000"/>
      </font>
    </dxf>
  </rfmt>
  <rcc rId="20336" sId="1">
    <oc r="D27">
      <f>D24+D23+D26+D25</f>
    </oc>
    <nc r="D27">
      <f>D24+D23+D25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20162" sId="2" numFmtId="4">
    <oc r="C32">
      <v>102837.50301</v>
    </oc>
    <nc r="C32">
      <v>123712.10301000001</v>
    </nc>
  </rcc>
  <rcc rId="20163" sId="2" numFmtId="4">
    <oc r="BZ32">
      <v>61926.50301</v>
    </oc>
    <nc r="BZ32">
      <v>82801.103010000006</v>
    </nc>
  </rcc>
  <rcc rId="20164" sId="2" numFmtId="4">
    <oc r="CI32">
      <v>25036.8194</v>
    </oc>
    <nc r="CI32">
      <v>45911.419399999999</v>
    </nc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14975" sId="8">
    <oc r="A1" t="inlineStr">
      <is>
        <t xml:space="preserve">                     Анализ исполнения бюджета Моргаушского сельского поселения на 01.01.2020 г.</t>
      </is>
    </oc>
    <nc r="A1" t="inlineStr">
      <is>
        <t xml:space="preserve">                     Анализ исполнения бюджета Моргаушского сельского поселения на 01.02.2020 г.</t>
      </is>
    </nc>
  </rcc>
  <rcc rId="14976" sId="8">
    <oc r="C3" t="inlineStr">
      <is>
        <t>назначено на 2019 г.</t>
      </is>
    </oc>
    <nc r="C3" t="inlineStr">
      <is>
        <t>назначено на 2020 г.</t>
      </is>
    </nc>
  </rcc>
  <rcc rId="14977" sId="8">
    <oc r="D3" t="inlineStr">
      <is>
        <t>исполнен на 01.01.2020 г.</t>
      </is>
    </oc>
    <nc r="D3" t="inlineStr">
      <is>
        <t>исполнен на 01.02.2020 г.</t>
      </is>
    </nc>
  </rcc>
  <rcc rId="14978" sId="8">
    <oc r="C54" t="inlineStr">
      <is>
        <t>назначено на 2019 г.</t>
      </is>
    </oc>
    <nc r="C54" t="inlineStr">
      <is>
        <t>назначено на 2020 г.</t>
      </is>
    </nc>
  </rcc>
  <rcc rId="14979" sId="8">
    <oc r="D54" t="inlineStr">
      <is>
        <t>исполнено на 01.01.2020 г.</t>
      </is>
    </oc>
    <nc r="D54" t="inlineStr">
      <is>
        <t>исполнено на 01.02.2020 г.</t>
      </is>
    </nc>
  </rcc>
  <rcc rId="14980" sId="8" numFmtId="34">
    <oc r="D58">
      <v>2008.81014</v>
    </oc>
    <nc r="D58">
      <v>107.17243000000001</v>
    </nc>
  </rcc>
  <rcc rId="14981" sId="8" numFmtId="34">
    <oc r="C61">
      <v>0</v>
    </oc>
    <nc r="C61">
      <v>90</v>
    </nc>
  </rcc>
  <rcc rId="14982" sId="8" numFmtId="34">
    <oc r="C62">
      <v>5</v>
    </oc>
    <nc r="C62">
      <v>55</v>
    </nc>
  </rcc>
  <rcc rId="14983" sId="8" numFmtId="34">
    <oc r="C63">
      <v>152.08099999999999</v>
    </oc>
    <nc r="C63">
      <v>31.864999999999998</v>
    </nc>
  </rcc>
  <rcc rId="14984" sId="8" numFmtId="34">
    <oc r="D63">
      <v>152.08007000000001</v>
    </oc>
    <nc r="D63">
      <v>0</v>
    </nc>
  </rcc>
  <rcc rId="14985" sId="8" numFmtId="34">
    <oc r="C69">
      <v>0</v>
    </oc>
    <nc r="C69">
      <v>10</v>
    </nc>
  </rcc>
  <rcc rId="14986" sId="8" numFmtId="34">
    <oc r="C70">
      <v>2</v>
    </oc>
    <nc r="C70">
      <v>100</v>
    </nc>
  </rcc>
  <rcc rId="14987" sId="8" numFmtId="34">
    <oc r="D70">
      <v>1.75</v>
    </oc>
    <nc r="D70">
      <v>0</v>
    </nc>
  </rcc>
  <rcc rId="14988" sId="8" numFmtId="34">
    <oc r="D71">
      <v>2</v>
    </oc>
    <nc r="D71">
      <v>0</v>
    </nc>
  </rcc>
  <rcc rId="14989" sId="8" numFmtId="34">
    <oc r="C73">
      <v>21.448</v>
    </oc>
    <nc r="C73">
      <v>28.632000000000001</v>
    </nc>
  </rcc>
  <rcc rId="14990" sId="8" numFmtId="34">
    <oc r="D73">
      <v>21.448</v>
    </oc>
    <nc r="D73">
      <v>0</v>
    </nc>
  </rcc>
  <rcc rId="14991" sId="8" numFmtId="34">
    <oc r="C74">
      <v>438.8</v>
    </oc>
    <nc r="C74">
      <v>400</v>
    </nc>
  </rcc>
  <rcc rId="14992" sId="8" numFmtId="34">
    <oc r="D74">
      <v>438.11099000000002</v>
    </oc>
    <nc r="D74">
      <v>68.609889999999993</v>
    </nc>
  </rcc>
  <rcc rId="14993" sId="8" numFmtId="34">
    <oc r="C75">
      <v>3248.8977100000002</v>
    </oc>
    <nc r="C75">
      <v>2264.0731500000002</v>
    </nc>
  </rcc>
  <rcc rId="14994" sId="8" numFmtId="34">
    <oc r="D75">
      <v>3187.9791100000002</v>
    </oc>
    <nc r="D75">
      <v>4.3239999999999998</v>
    </nc>
  </rcc>
  <rcc rId="14995" sId="8" numFmtId="34">
    <oc r="C76">
      <v>165.536</v>
    </oc>
    <nc r="C76">
      <v>200</v>
    </nc>
  </rcc>
  <rcc rId="14996" sId="8" numFmtId="34">
    <oc r="D76">
      <v>165.536</v>
    </oc>
    <nc r="D76">
      <v>0</v>
    </nc>
  </rcc>
  <rcc rId="14997" sId="8" numFmtId="34">
    <oc r="C80">
      <v>47158.2212</v>
    </oc>
    <nc r="C80">
      <v>10372.5494</v>
    </nc>
  </rcc>
  <rcc rId="14998" sId="8" numFmtId="34">
    <oc r="D80">
      <v>9804.08079</v>
    </oc>
    <nc r="D80">
      <v>38.148600000000002</v>
    </nc>
  </rcc>
  <rcc rId="14999" sId="8" numFmtId="34">
    <oc r="C82">
      <v>3735</v>
    </oc>
    <nc r="C82">
      <v>4457.2</v>
    </nc>
  </rcc>
  <rcc rId="15000" sId="8" numFmtId="34">
    <oc r="D82">
      <v>3490</v>
    </oc>
    <nc r="D82">
      <v>371.43299999999999</v>
    </nc>
  </rcc>
  <rcc rId="15001" sId="8" numFmtId="34">
    <oc r="C90">
      <v>0</v>
    </oc>
    <nc r="C90">
      <v>24.613</v>
    </nc>
  </rcc>
  <rcc rId="15002" sId="8" numFmtId="34">
    <oc r="C58">
      <v>2008.8109999999999</v>
    </oc>
    <nc r="C58">
      <v>1909.2</v>
    </nc>
  </rcc>
  <rcc rId="15003" sId="8" numFmtId="4">
    <oc r="C6">
      <v>1855.837</v>
    </oc>
    <nc r="C6">
      <v>1917</v>
    </nc>
  </rcc>
  <rcc rId="15004" sId="8" numFmtId="4">
    <oc r="D6">
      <v>1896.86886</v>
    </oc>
    <nc r="D6">
      <v>78.23724</v>
    </nc>
  </rcc>
  <rcc rId="15005" sId="8" numFmtId="4">
    <oc r="C8">
      <v>131.83000000000001</v>
    </oc>
    <nc r="C8">
      <v>153.57</v>
    </nc>
  </rcc>
  <rcc rId="15006" sId="8" numFmtId="4">
    <oc r="D8">
      <v>195.36789999999999</v>
    </oc>
    <nc r="D8">
      <v>15.58752</v>
    </nc>
  </rcc>
  <rcc rId="15007" sId="8" numFmtId="4">
    <oc r="C9">
      <v>1.41</v>
    </oc>
    <nc r="C9">
      <v>1.64</v>
    </nc>
  </rcc>
  <rcc rId="15008" sId="8" numFmtId="4">
    <oc r="D9">
      <v>1.4359999999999999</v>
    </oc>
    <nc r="D9">
      <v>0.10606</v>
    </nc>
  </rcc>
  <rcc rId="15009" sId="8" numFmtId="4">
    <oc r="C10">
      <v>220.18</v>
    </oc>
    <nc r="C10">
      <v>256.5</v>
    </nc>
  </rcc>
  <rcc rId="15010" sId="8" numFmtId="4">
    <oc r="D10">
      <v>261.01224000000002</v>
    </oc>
    <nc r="D10">
      <v>21.388500000000001</v>
    </nc>
  </rcc>
  <rcc rId="15011" sId="8" numFmtId="4">
    <oc r="D11">
      <v>-28.60887</v>
    </oc>
    <nc r="D11">
      <v>-2.8655300000000001</v>
    </nc>
  </rcc>
  <rcc rId="15012" sId="8" numFmtId="4">
    <oc r="D13">
      <v>74.889960000000002</v>
    </oc>
    <nc r="D13">
      <v>0</v>
    </nc>
  </rcc>
  <rcc rId="15013" sId="8" numFmtId="4">
    <oc r="C15">
      <v>858</v>
    </oc>
    <nc r="C15">
      <v>980</v>
    </nc>
  </rcc>
  <rcc rId="15014" sId="8" numFmtId="4">
    <oc r="D15">
      <v>829.42217000000005</v>
    </oc>
    <nc r="D15">
      <v>19.577870000000001</v>
    </nc>
  </rcc>
  <rcc rId="15015" sId="8" numFmtId="4">
    <oc r="C16">
      <v>1560</v>
    </oc>
    <nc r="C16">
      <v>1499</v>
    </nc>
  </rcc>
  <rcc rId="15016" sId="8" numFmtId="4">
    <oc r="D16">
      <v>1400.0571</v>
    </oc>
    <nc r="D16">
      <v>108.80298999999999</v>
    </nc>
  </rcc>
  <rcc rId="15017" sId="8" numFmtId="4">
    <oc r="C35">
      <v>83</v>
    </oc>
    <nc r="C35">
      <v>0</v>
    </nc>
  </rcc>
  <rcc rId="15018" sId="8" numFmtId="4">
    <oc r="D35">
      <v>83.611519999999999</v>
    </oc>
    <nc r="D35">
      <v>0</v>
    </nc>
  </rcc>
  <rcc rId="15019" sId="8" numFmtId="4">
    <oc r="C41">
      <v>4687.5</v>
    </oc>
    <nc r="C41">
      <v>5155.8</v>
    </nc>
  </rcc>
  <rcc rId="15020" sId="8" numFmtId="4">
    <oc r="D41">
      <v>4687.5</v>
    </oc>
    <nc r="D41">
      <v>429.64299999999997</v>
    </nc>
  </rcc>
  <rcc rId="15021" sId="8" numFmtId="4">
    <oc r="C42">
      <v>42</v>
    </oc>
    <nc r="C42">
      <v>0</v>
    </nc>
  </rcc>
  <rcc rId="15022" sId="8" numFmtId="4">
    <oc r="D42">
      <v>42</v>
    </oc>
    <nc r="D42">
      <v>0</v>
    </nc>
  </rcc>
  <rcc rId="15023" sId="8" numFmtId="4">
    <oc r="C43">
      <v>46310.689579999998</v>
    </oc>
    <nc r="C43">
      <v>9320.3703999999998</v>
    </nc>
  </rcc>
  <rcc rId="15024" sId="8" numFmtId="4">
    <oc r="D43">
      <v>8982.59476</v>
    </oc>
    <nc r="D43">
      <v>0</v>
    </nc>
  </rcc>
  <rcc rId="15025" sId="8" numFmtId="4">
    <oc r="C45">
      <v>9.2170000000000005</v>
    </oc>
    <nc r="C45">
      <v>11.71</v>
    </nc>
  </rcc>
  <rcc rId="15026" sId="8" numFmtId="4">
    <oc r="D45">
      <v>9.2170000000000005</v>
    </oc>
    <nc r="D45">
      <v>0</v>
    </nc>
  </rcc>
  <rcc rId="15027" sId="8" numFmtId="4">
    <oc r="C48">
      <v>469.18729000000002</v>
    </oc>
    <nc r="C48">
      <v>462.18360999999999</v>
    </nc>
  </rcc>
  <rcc rId="15028" sId="8" numFmtId="4">
    <oc r="D48">
      <v>444.70496000000003</v>
    </oc>
    <nc r="D4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1.xml><?xml version="1.0" encoding="utf-8"?>
<revisions xmlns="http://schemas.openxmlformats.org/spreadsheetml/2006/main" xmlns:r="http://schemas.openxmlformats.org/officeDocument/2006/relationships">
  <rcc rId="14785" sId="6">
    <oc r="A1" t="inlineStr">
      <is>
        <t xml:space="preserve">                     Анализ исполнения бюджета Ильинского сельского поселения на 01.01.2020 г.</t>
      </is>
    </oc>
    <nc r="A1" t="inlineStr">
      <is>
        <t xml:space="preserve">                     Анализ исполнения бюджета Ильинского сельского поселения на 01.02.2020 г.</t>
      </is>
    </nc>
  </rcc>
  <rcc rId="14786" sId="6">
    <oc r="C3" t="inlineStr">
      <is>
        <t>назначено на 2019 г.</t>
      </is>
    </oc>
    <nc r="C3" t="inlineStr">
      <is>
        <t>назначено на 2020 г.</t>
      </is>
    </nc>
  </rcc>
  <rcc rId="14787" sId="6">
    <oc r="D3" t="inlineStr">
      <is>
        <t>исполнен на 01.01.2020 г.</t>
      </is>
    </oc>
    <nc r="D3" t="inlineStr">
      <is>
        <t>исполнен на 01.02.2020 г.</t>
      </is>
    </nc>
  </rcc>
  <rcc rId="14788" sId="6">
    <oc r="C56" t="inlineStr">
      <is>
        <t>назначено на 2019 г.</t>
      </is>
    </oc>
    <nc r="C56" t="inlineStr">
      <is>
        <t>назначено на 2020 г.</t>
      </is>
    </nc>
  </rcc>
  <rcc rId="14789" sId="6">
    <oc r="D56" t="inlineStr">
      <is>
        <t>исполнено на 01.01.2020 г.</t>
      </is>
    </oc>
    <nc r="D56" t="inlineStr">
      <is>
        <t>исполнено на 01.02.2020 г.</t>
      </is>
    </nc>
  </rcc>
  <rcc rId="14790" sId="6" numFmtId="4">
    <oc r="C6">
      <v>70.23</v>
    </oc>
    <nc r="C6">
      <v>71.7</v>
    </nc>
  </rcc>
  <rcc rId="14791" sId="6" numFmtId="4">
    <oc r="D6">
      <v>70.822199999999995</v>
    </oc>
    <nc r="D6">
      <v>2.0882000000000001</v>
    </nc>
  </rcc>
  <rcc rId="14792" sId="6" numFmtId="4">
    <oc r="C8">
      <v>224.26</v>
    </oc>
    <nc r="C8">
      <v>260.69</v>
    </nc>
  </rcc>
  <rcc rId="14793" sId="6" numFmtId="4">
    <oc r="D8">
      <v>332.36374999999998</v>
    </oc>
    <nc r="D8">
      <v>26.460339999999999</v>
    </nc>
  </rcc>
  <rcc rId="14794" sId="6" numFmtId="4">
    <oc r="C9">
      <v>2.4049999999999998</v>
    </oc>
    <nc r="C9">
      <v>2.79</v>
    </nc>
  </rcc>
  <rcc rId="14795" sId="6" numFmtId="4">
    <oc r="D9">
      <v>2.4429599999999998</v>
    </oc>
    <nc r="D9">
      <v>0.18004000000000001</v>
    </nc>
  </rcc>
  <rcc rId="14796" sId="6" numFmtId="4">
    <oc r="C10">
      <v>374.58</v>
    </oc>
    <nc r="C10">
      <v>435.41</v>
    </nc>
  </rcc>
  <rcc rId="14797" sId="6" numFmtId="4">
    <oc r="D10">
      <v>444.03910000000002</v>
    </oc>
    <nc r="D10">
      <v>36.307650000000002</v>
    </nc>
  </rcc>
  <rcc rId="14798" sId="6" numFmtId="4">
    <oc r="D11">
      <v>-48.669960000000003</v>
    </oc>
    <nc r="D11">
      <v>-4.8643599999999996</v>
    </nc>
  </rcc>
  <rcc rId="14799" sId="6" numFmtId="4">
    <oc r="C13">
      <v>7</v>
    </oc>
    <nc r="C13">
      <v>10</v>
    </nc>
  </rcc>
  <rcc rId="14800" sId="6" numFmtId="4">
    <oc r="D13">
      <v>8.6674199999999999</v>
    </oc>
    <nc r="D13">
      <v>0</v>
    </nc>
  </rcc>
  <rcc rId="14801" sId="6" numFmtId="4">
    <oc r="C15">
      <v>282</v>
    </oc>
    <nc r="C15">
      <v>310</v>
    </nc>
  </rcc>
  <rcc rId="14802" sId="6" numFmtId="4">
    <oc r="D15">
      <v>341.99608999999998</v>
    </oc>
    <nc r="D15">
      <v>2.40035</v>
    </nc>
  </rcc>
  <rcc rId="14803" sId="6" numFmtId="4">
    <oc r="C16">
      <v>810</v>
    </oc>
    <nc r="C16">
      <v>750</v>
    </nc>
  </rcc>
  <rcc rId="14804" sId="6" numFmtId="4">
    <oc r="D16">
      <v>729.70902000000001</v>
    </oc>
    <nc r="D16">
      <v>24.45392</v>
    </nc>
  </rcc>
  <rcc rId="14805" sId="6" numFmtId="4">
    <oc r="C18">
      <v>5</v>
    </oc>
    <nc r="C18">
      <v>4</v>
    </nc>
  </rcc>
  <rcc rId="14806" sId="6" numFmtId="4">
    <oc r="D18">
      <v>6.51</v>
    </oc>
    <nc r="D18">
      <v>0</v>
    </nc>
  </rcc>
  <rcc rId="14807" sId="6" numFmtId="4">
    <oc r="C28">
      <v>200</v>
    </oc>
    <nc r="C28">
      <v>328.6</v>
    </nc>
  </rcc>
  <rcc rId="14808" sId="6" numFmtId="4">
    <oc r="D28">
      <v>239.12868</v>
    </oc>
    <nc r="D28">
      <v>3.9630000000000001</v>
    </nc>
  </rcc>
  <rcc rId="14809" sId="6" numFmtId="4">
    <oc r="C29">
      <v>40</v>
    </oc>
    <nc r="C29">
      <v>30.6</v>
    </nc>
  </rcc>
  <rcc rId="14810" sId="6" numFmtId="4">
    <oc r="D29">
      <v>41.641800000000003</v>
    </oc>
    <nc r="D29">
      <v>0</v>
    </nc>
  </rcc>
  <rcc rId="14811" sId="6" numFmtId="4">
    <oc r="C31">
      <v>60</v>
    </oc>
    <nc r="C31">
      <v>0</v>
    </nc>
  </rcc>
  <rcc rId="14812" sId="6" numFmtId="4">
    <oc r="D31">
      <v>46.168729999999996</v>
    </oc>
    <nc r="D31">
      <v>0</v>
    </nc>
  </rcc>
  <rcc rId="14813" sId="6" numFmtId="4">
    <oc r="C36">
      <v>6</v>
    </oc>
    <nc r="C36">
      <v>0</v>
    </nc>
  </rcc>
  <rcc rId="14814" sId="6" numFmtId="4">
    <oc r="D36">
      <v>6.4574199999999999</v>
    </oc>
    <nc r="D36">
      <v>0</v>
    </nc>
  </rcc>
  <rcc rId="14815" sId="6" numFmtId="4">
    <oc r="D37">
      <v>5.1497000000000002</v>
    </oc>
    <nc r="D37">
      <v>0</v>
    </nc>
  </rcc>
  <rcc rId="14816" sId="6" numFmtId="4">
    <oc r="C44">
      <v>509.6</v>
    </oc>
    <nc r="C44">
      <v>650</v>
    </nc>
  </rcc>
  <rcc rId="14817" sId="6" numFmtId="4">
    <oc r="D44">
      <v>509.6</v>
    </oc>
    <nc r="D44">
      <v>0</v>
    </nc>
  </rcc>
  <rcc rId="14818" sId="6" numFmtId="4">
    <oc r="C43">
      <v>1759.1</v>
    </oc>
    <nc r="C43">
      <v>1706.8</v>
    </nc>
  </rcc>
  <rcc rId="14819" sId="6" numFmtId="4">
    <oc r="D43">
      <v>1759.1</v>
    </oc>
    <nc r="D43">
      <v>142.23099999999999</v>
    </nc>
  </rcc>
  <rcc rId="14820" sId="6" numFmtId="4">
    <oc r="D45">
      <v>3849.8881500000002</v>
    </oc>
    <nc r="D45">
      <v>0</v>
    </nc>
  </rcc>
  <rcc rId="14821" sId="6" numFmtId="4">
    <oc r="C46">
      <v>0</v>
    </oc>
    <nc r="C46">
      <v>433.39</v>
    </nc>
  </rcc>
  <rcc rId="14822" sId="6" numFmtId="4">
    <oc r="C47">
      <v>181.08199999999999</v>
    </oc>
    <nc r="C47">
      <v>180.398</v>
    </nc>
  </rcc>
  <rcc rId="14823" sId="6" numFmtId="4">
    <oc r="D47">
      <v>181.08199999999999</v>
    </oc>
    <nc r="D47">
      <v>14.933299999999999</v>
    </nc>
  </rcc>
  <rcc rId="14824" sId="6" numFmtId="4">
    <oc r="C48">
      <v>1378.66228</v>
    </oc>
    <nc r="C48"/>
  </rcc>
  <rcc rId="14825" sId="6" numFmtId="4">
    <oc r="D48">
      <v>1323.6177</v>
    </oc>
    <nc r="D48"/>
  </rcc>
  <rcc rId="14826" sId="6" numFmtId="4">
    <oc r="C52">
      <v>332.33686</v>
    </oc>
    <nc r="C52">
      <v>0</v>
    </nc>
  </rcc>
  <rcc rId="14827" sId="6" numFmtId="4">
    <oc r="D52">
      <v>631.577</v>
    </oc>
    <nc r="D52">
      <v>0</v>
    </nc>
  </rcc>
  <rcc rId="14828" sId="6" numFmtId="4">
    <oc r="C45">
      <v>3849.8881500000002</v>
    </oc>
    <nc r="C45">
      <v>663.8</v>
    </nc>
  </rcc>
  <rcc rId="14829" sId="6" numFmtId="4">
    <oc r="C60">
      <v>1369.8440000000001</v>
    </oc>
    <nc r="C60">
      <v>1341.9</v>
    </nc>
  </rcc>
  <rcc rId="14830" sId="6" numFmtId="4">
    <oc r="D60">
      <v>1369.05204</v>
    </oc>
    <nc r="D60">
      <v>26.114419999999999</v>
    </nc>
  </rcc>
  <rcc rId="14831" sId="6" numFmtId="4">
    <oc r="C63">
      <v>0</v>
    </oc>
    <nc r="C63">
      <v>23</v>
    </nc>
  </rcc>
  <rcc rId="14832" sId="6" numFmtId="4">
    <oc r="C65">
      <v>20.117000000000001</v>
    </oc>
    <nc r="C65">
      <v>3.6739999999999999</v>
    </nc>
  </rcc>
  <rcc rId="14833" sId="6" numFmtId="4">
    <oc r="D65">
      <v>20.117000000000001</v>
    </oc>
    <nc r="D65">
      <v>0</v>
    </nc>
  </rcc>
  <rcc rId="14834" sId="6" numFmtId="4">
    <oc r="C67">
      <v>179.892</v>
    </oc>
    <nc r="C67">
      <v>179.208</v>
    </nc>
  </rcc>
  <rcc rId="14835" sId="6" numFmtId="4">
    <oc r="D67">
      <v>179.892</v>
    </oc>
    <nc r="D67">
      <v>4</v>
    </nc>
  </rcc>
  <rcc rId="14836" sId="6" numFmtId="4">
    <oc r="D71">
      <v>2</v>
    </oc>
    <nc r="D71">
      <v>0</v>
    </nc>
  </rcc>
  <rcc rId="14837" sId="6" numFmtId="4">
    <oc r="D72">
      <v>2</v>
    </oc>
    <nc r="D72">
      <v>0</v>
    </nc>
  </rcc>
  <rcc rId="14838" sId="6" numFmtId="4">
    <oc r="D73">
      <v>2</v>
    </oc>
    <nc r="D73">
      <v>0</v>
    </nc>
  </rcc>
  <rcc rId="14839" sId="6" numFmtId="4">
    <oc r="C75">
      <v>2.681</v>
    </oc>
    <nc r="C75">
      <v>2.863</v>
    </nc>
  </rcc>
  <rcc rId="14840" sId="6" numFmtId="4">
    <oc r="D75">
      <v>2.681</v>
    </oc>
    <nc r="D75">
      <v>0</v>
    </nc>
  </rcc>
  <rcc rId="14841" sId="6" numFmtId="4">
    <oc r="C76">
      <v>521.64328999999998</v>
    </oc>
    <nc r="C76">
      <v>0</v>
    </nc>
  </rcc>
  <rcc rId="14842" sId="6" numFmtId="4">
    <oc r="D76">
      <v>498.44495999999998</v>
    </oc>
    <nc r="D76">
      <v>0</v>
    </nc>
  </rcc>
  <rcc rId="14843" sId="6" numFmtId="4">
    <oc r="C77">
      <v>5136.15787</v>
    </oc>
    <nc r="C77">
      <v>1916.98</v>
    </nc>
  </rcc>
  <rcc rId="14844" sId="6" numFmtId="4">
    <oc r="D77">
      <v>5088.3509299999996</v>
    </oc>
    <nc r="D77">
      <v>0</v>
    </nc>
  </rcc>
  <rcc rId="14845" sId="6" numFmtId="4">
    <oc r="C78">
      <v>80</v>
    </oc>
    <nc r="C78">
      <v>233.2</v>
    </nc>
  </rcc>
  <rcc rId="14846" sId="6" numFmtId="4">
    <oc r="D78">
      <v>79.996619999999993</v>
    </oc>
    <nc r="D78">
      <v>0</v>
    </nc>
  </rcc>
  <rcc rId="14847" sId="6" numFmtId="4">
    <oc r="C84">
      <v>1011.07591</v>
    </oc>
    <nc r="C84">
      <v>660</v>
    </nc>
  </rcc>
  <rcc rId="14848" sId="6" numFmtId="4">
    <oc r="D84">
      <v>959.58473000000004</v>
    </oc>
    <nc r="D84">
      <v>0</v>
    </nc>
  </rcc>
  <rcc rId="14849" sId="6" numFmtId="4">
    <oc r="C86">
      <v>2221.6653999999999</v>
    </oc>
    <nc r="C86">
      <v>1585.2529999999999</v>
    </nc>
  </rcc>
  <rcc rId="14850" sId="6" numFmtId="4">
    <oc r="D86">
      <v>2192.99343</v>
    </oc>
    <nc r="D86">
      <v>125</v>
    </nc>
  </rcc>
  <rcc rId="14851" sId="6" numFmtId="4">
    <oc r="C93">
      <v>52</v>
    </oc>
    <nc r="C93">
      <v>2</v>
    </nc>
  </rcc>
  <rcc rId="14852" sId="6" numFmtId="4">
    <oc r="D93">
      <v>30.363</v>
    </oc>
    <nc r="D93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1.xml><?xml version="1.0" encoding="utf-8"?>
<revisions xmlns="http://schemas.openxmlformats.org/spreadsheetml/2006/main" xmlns:r="http://schemas.openxmlformats.org/officeDocument/2006/relationships">
  <rcc rId="15433" sId="12">
    <oc r="C54" t="inlineStr">
      <is>
        <t>назначено на 2019 г.</t>
      </is>
    </oc>
    <nc r="C54" t="inlineStr">
      <is>
        <t>назначено на 2020 г.</t>
      </is>
    </nc>
  </rcc>
  <rcc rId="15434" sId="12">
    <oc r="D54" t="inlineStr">
      <is>
        <t>исполнено на 01.01.2020 г.</t>
      </is>
    </oc>
    <nc r="D54" t="inlineStr">
      <is>
        <t>исполнено на 01.02.2020 г.</t>
      </is>
    </nc>
  </rcc>
  <rcc rId="15435" sId="12">
    <oc r="A1" t="inlineStr">
      <is>
        <t xml:space="preserve">                     Анализ исполнения бюджета Тораевского сельского поселения на 01.01.2020 г.</t>
      </is>
    </oc>
    <nc r="A1" t="inlineStr">
      <is>
        <t xml:space="preserve">                     Анализ исполнения бюджета Тораевского сельского поселения на 01.02.2020 г.</t>
      </is>
    </nc>
  </rcc>
  <rcc rId="15436" sId="12">
    <oc r="C3" t="inlineStr">
      <is>
        <t>назначено на 2019 г.</t>
      </is>
    </oc>
    <nc r="C3" t="inlineStr">
      <is>
        <t>назначено на 2020 г.</t>
      </is>
    </nc>
  </rcc>
  <rcc rId="15437" sId="12">
    <oc r="D3" t="inlineStr">
      <is>
        <t>исполнен на 01.01.2020 г.</t>
      </is>
    </oc>
    <nc r="D3" t="inlineStr">
      <is>
        <t>исполнен на 01.02.2020 г.</t>
      </is>
    </nc>
  </rcc>
  <rcc rId="15438" sId="12" numFmtId="4">
    <oc r="C6">
      <v>120.069</v>
    </oc>
    <nc r="C6">
      <v>117.6</v>
    </nc>
  </rcc>
  <rcc rId="15439" sId="12" numFmtId="4">
    <oc r="D6">
      <v>118.17819</v>
    </oc>
    <nc r="D6">
      <v>5.21997</v>
    </nc>
  </rcc>
  <rcc rId="15440" sId="12" numFmtId="4">
    <oc r="C8">
      <v>270.89</v>
    </oc>
    <nc r="C8">
      <v>315.67</v>
    </nc>
  </rcc>
  <rcc rId="15441" sId="12" numFmtId="4">
    <oc r="D8">
      <v>401.45729999999998</v>
    </oc>
    <nc r="D8">
      <v>32.041069999999998</v>
    </nc>
  </rcc>
  <rcc rId="15442" sId="12" numFmtId="4">
    <oc r="C9">
      <v>2.9049999999999998</v>
    </oc>
    <nc r="C9">
      <v>3.39</v>
    </nc>
  </rcc>
  <rcc rId="15443" sId="12" numFmtId="4">
    <oc r="D9">
      <v>2.9508100000000002</v>
    </oc>
    <nc r="D9">
      <v>0.218</v>
    </nc>
  </rcc>
  <rcc rId="15444" sId="12" numFmtId="4">
    <oc r="C10">
      <v>452.44</v>
    </oc>
    <nc r="C10">
      <v>527.24</v>
    </nc>
  </rcc>
  <rcc rId="15445" sId="12" numFmtId="4">
    <oc r="D10">
      <v>536.34830999999997</v>
    </oc>
    <nc r="D10">
      <v>43.965269999999997</v>
    </nc>
  </rcc>
  <rcc rId="15446" sId="12" numFmtId="4">
    <oc r="D11">
      <v>-58.787730000000003</v>
    </oc>
    <nc r="D11">
      <v>-5.8903100000000004</v>
    </nc>
  </rcc>
  <rcc rId="15447" sId="12" numFmtId="4">
    <oc r="C13">
      <v>25</v>
    </oc>
    <nc r="C13">
      <v>30</v>
    </nc>
  </rcc>
  <rcc rId="15448" sId="12" numFmtId="4">
    <oc r="D13">
      <v>78.119699999999995</v>
    </oc>
    <nc r="D13">
      <v>0</v>
    </nc>
  </rcc>
  <rcc rId="15449" sId="12" numFmtId="4">
    <oc r="C15">
      <v>153</v>
    </oc>
    <nc r="C15">
      <v>250</v>
    </nc>
  </rcc>
  <rcc rId="15450" sId="12" numFmtId="4">
    <oc r="D15">
      <v>154.26683</v>
    </oc>
    <nc r="D15">
      <v>1.7590000000000001E-2</v>
    </nc>
  </rcc>
  <rcc rId="15451" sId="12" numFmtId="4">
    <oc r="C16">
      <v>250</v>
    </oc>
    <nc r="C16">
      <v>388</v>
    </nc>
  </rcc>
  <rcc rId="15452" sId="12" numFmtId="4">
    <oc r="D16">
      <v>211.65996000000001</v>
    </oc>
    <nc r="D16">
      <v>2.5541900000000002</v>
    </nc>
  </rcc>
  <rcc rId="15453" sId="12" numFmtId="4">
    <oc r="C18">
      <v>10</v>
    </oc>
    <nc r="C18">
      <v>8</v>
    </nc>
  </rcc>
  <rcc rId="15454" sId="12" numFmtId="4">
    <oc r="D18">
      <v>7.2</v>
    </oc>
    <nc r="D18">
      <v>0.2</v>
    </nc>
  </rcc>
  <rcc rId="15455" sId="12" numFmtId="4">
    <oc r="C27">
      <v>475</v>
    </oc>
    <nc r="C27">
      <v>592.1</v>
    </nc>
  </rcc>
  <rcc rId="15456" sId="12" numFmtId="4">
    <oc r="D27">
      <v>495.13547999999997</v>
    </oc>
    <nc r="D27">
      <v>117.92</v>
    </nc>
  </rcc>
  <rcc rId="15457" sId="12" numFmtId="4">
    <oc r="C28">
      <v>60</v>
    </oc>
    <nc r="C28">
      <v>77</v>
    </nc>
  </rcc>
  <rcc rId="15458" sId="12" numFmtId="4">
    <oc r="D28">
      <v>77.039019999999994</v>
    </oc>
    <nc r="D28">
      <v>0.54335</v>
    </nc>
  </rcc>
  <rcc rId="15459" sId="12" numFmtId="4">
    <oc r="C30">
      <v>33</v>
    </oc>
    <nc r="C30"/>
  </rcc>
  <rcc rId="15460" sId="12" numFmtId="4">
    <oc r="D30">
      <v>50.359360000000002</v>
    </oc>
    <nc r="D30"/>
  </rcc>
  <rcc rId="15461" sId="12" numFmtId="4">
    <oc r="D31">
      <v>0.30660999999999999</v>
    </oc>
    <nc r="D31"/>
  </rcc>
  <rcc rId="15462" sId="12" numFmtId="4">
    <oc r="C36">
      <v>17</v>
    </oc>
    <nc r="C36"/>
  </rcc>
  <rcc rId="15463" sId="12" numFmtId="4">
    <oc r="D36">
      <v>33.728740000000002</v>
    </oc>
    <nc r="D36"/>
  </rcc>
  <rcc rId="15464" sId="12" numFmtId="4">
    <oc r="C42">
      <v>1424.6</v>
    </oc>
    <nc r="C42">
      <v>1079.5</v>
    </nc>
  </rcc>
  <rcc rId="15465" sId="12" numFmtId="4">
    <oc r="D42">
      <v>1424.6</v>
    </oc>
    <nc r="D42">
      <v>89.956999999999994</v>
    </nc>
  </rcc>
  <rcc rId="15466" sId="12" numFmtId="4">
    <oc r="C43">
      <v>399.5</v>
    </oc>
    <nc r="C43">
      <v>100</v>
    </nc>
  </rcc>
  <rcc rId="15467" sId="12" numFmtId="4">
    <oc r="D43">
      <v>399.5</v>
    </oc>
    <nc r="D43">
      <v>0</v>
    </nc>
  </rcc>
  <rcc rId="15468" sId="12" numFmtId="4">
    <oc r="C44">
      <v>2462.3678500000001</v>
    </oc>
    <nc r="C44">
      <v>1350.4110000000001</v>
    </nc>
  </rcc>
  <rcc rId="15469" sId="12" numFmtId="4">
    <oc r="D44">
      <v>2397.9915599999999</v>
    </oc>
    <nc r="D44"/>
  </rcc>
  <rcc rId="15470" sId="12" numFmtId="4">
    <oc r="C45">
      <v>181.68199999999999</v>
    </oc>
    <nc r="C45">
      <v>182.18799999999999</v>
    </nc>
  </rcc>
  <rcc rId="15471" sId="12" numFmtId="4">
    <oc r="D45">
      <v>181.68199999999999</v>
    </oc>
    <nc r="D45">
      <v>14.933299999999999</v>
    </nc>
  </rcc>
  <rcc rId="15472" sId="12" numFmtId="4">
    <oc r="C46">
      <v>1462.0309999999999</v>
    </oc>
    <nc r="C46"/>
  </rcc>
  <rcc rId="15473" sId="12" numFmtId="4">
    <oc r="D46">
      <v>1462.0304100000001</v>
    </oc>
    <nc r="D46"/>
  </rcc>
  <rcc rId="15474" sId="12" numFmtId="4">
    <oc r="C48">
      <v>508.16561000000002</v>
    </oc>
    <nc r="C48"/>
  </rcc>
  <rcc rId="15475" sId="12" numFmtId="4">
    <oc r="D48">
      <v>339.9</v>
    </oc>
    <nc r="D48"/>
  </rcc>
  <rcc rId="15476" sId="12" numFmtId="34">
    <oc r="C58">
      <v>1119.19</v>
    </oc>
    <nc r="C58">
      <v>1182.0170000000001</v>
    </nc>
  </rcc>
  <rcc rId="15477" sId="12" numFmtId="34">
    <oc r="D58">
      <v>1118.38294</v>
    </oc>
    <nc r="D58">
      <v>25.763010000000001</v>
    </nc>
  </rcc>
  <rcc rId="15478" sId="12" numFmtId="34">
    <oc r="C61">
      <v>0</v>
    </oc>
    <nc r="C61">
      <v>28</v>
    </nc>
  </rcc>
  <rcc rId="15479" sId="12" numFmtId="34">
    <oc r="C62">
      <v>1</v>
    </oc>
    <nc r="C62">
      <v>5</v>
    </nc>
  </rcc>
  <rcc rId="15480" sId="12" numFmtId="34">
    <oc r="C63">
      <v>11.284000000000001</v>
    </oc>
    <nc r="C63">
      <v>3.3170000000000002</v>
    </nc>
  </rcc>
  <rcc rId="15481" sId="12" numFmtId="34">
    <oc r="D63">
      <v>11.284000000000001</v>
    </oc>
    <nc r="D63">
      <v>0</v>
    </nc>
  </rcc>
  <rcc rId="15482" sId="12" numFmtId="34">
    <oc r="C65">
      <v>179.892</v>
    </oc>
    <nc r="C65">
      <v>179.208</v>
    </nc>
  </rcc>
  <rcc rId="15483" sId="12" numFmtId="34">
    <oc r="D65">
      <v>179.892</v>
    </oc>
    <nc r="D65">
      <v>4.8</v>
    </nc>
  </rcc>
  <rcc rId="15484" sId="12" numFmtId="34">
    <oc r="C69">
      <v>0</v>
    </oc>
    <nc r="C69">
      <v>2</v>
    </nc>
  </rcc>
  <rcc rId="15485" sId="12" numFmtId="34">
    <oc r="C70">
      <v>35.869999999999997</v>
    </oc>
    <nc r="C70">
      <v>2</v>
    </nc>
  </rcc>
  <rcc rId="15486" sId="12" numFmtId="34">
    <oc r="D70">
      <v>35.869999999999997</v>
    </oc>
    <nc r="D70">
      <v>0</v>
    </nc>
  </rcc>
  <rcc rId="15487" sId="12" numFmtId="34">
    <oc r="C71">
      <v>0</v>
    </oc>
    <nc r="C71">
      <v>2</v>
    </nc>
  </rcc>
  <rcc rId="15488" sId="12" numFmtId="34">
    <oc r="C73">
      <v>4.0214999999999996</v>
    </oc>
    <nc r="C73">
      <v>7.1580000000000004</v>
    </nc>
  </rcc>
  <rcc rId="15489" sId="12" numFmtId="34">
    <oc r="D73">
      <v>4.0214999999999996</v>
    </oc>
    <nc r="D73">
      <v>0</v>
    </nc>
  </rcc>
  <rcc rId="15490" sId="12" numFmtId="34">
    <oc r="C74">
      <v>1051.4464800000001</v>
    </oc>
    <nc r="C74">
      <v>0</v>
    </nc>
  </rcc>
  <rcc rId="15491" sId="12" numFmtId="34">
    <oc r="D74">
      <v>1049.3617400000001</v>
    </oc>
    <nc r="D74">
      <v>0</v>
    </nc>
  </rcc>
  <rcc rId="15492" sId="12" numFmtId="34">
    <oc r="C76">
      <v>4005.6954500000002</v>
    </oc>
    <nc r="C76">
      <v>2342.7109999999998</v>
    </nc>
  </rcc>
  <rcc rId="15493" sId="12" numFmtId="34">
    <oc r="D76">
      <v>3191.8908999999999</v>
    </oc>
    <nc r="D76">
      <v>0</v>
    </nc>
  </rcc>
  <rcc rId="15494" sId="12" numFmtId="34">
    <oc r="C77">
      <v>200.952</v>
    </oc>
    <nc r="C77">
      <v>30</v>
    </nc>
  </rcc>
  <rcc rId="15495" sId="12" numFmtId="34">
    <oc r="D77">
      <v>200.952</v>
    </oc>
    <nc r="D77">
      <v>0</v>
    </nc>
  </rcc>
  <rcc rId="15496" sId="12" numFmtId="34">
    <oc r="C81">
      <v>939.37266999999997</v>
    </oc>
    <nc r="C81">
      <v>267.90499999999997</v>
    </nc>
  </rcc>
  <rcc rId="15497" sId="12" numFmtId="34">
    <oc r="D81">
      <v>939.37266999999997</v>
    </oc>
    <nc r="D81">
      <v>0</v>
    </nc>
  </rcc>
  <rcc rId="15498" sId="12" numFmtId="34">
    <oc r="C83">
      <v>1259.6500000000001</v>
    </oc>
    <nc r="C83">
      <v>1150.0999999999999</v>
    </nc>
  </rcc>
  <rcc rId="15499" sId="12" numFmtId="34">
    <oc r="D83">
      <v>1259.6500000000001</v>
    </oc>
    <nc r="D83">
      <v>92.424999999999997</v>
    </nc>
  </rcc>
  <rcc rId="15500" sId="12" numFmtId="34">
    <oc r="C97">
      <v>15</v>
    </oc>
    <nc r="C97">
      <v>2</v>
    </nc>
  </rcc>
  <rcc rId="15501" sId="12" numFmtId="34">
    <oc r="D97">
      <v>15</v>
    </oc>
    <nc r="D97">
      <v>0</v>
    </nc>
  </rcc>
  <rcc rId="15502" sId="13">
    <oc r="A1" t="inlineStr">
      <is>
        <t xml:space="preserve">                     Анализ исполнения бюджета Хорнойского сельского поселения на 01.01.2020 г.</t>
      </is>
    </oc>
    <nc r="A1" t="inlineStr">
      <is>
        <t xml:space="preserve">                     Анализ исполнения бюджета Хорнойского сельского поселения на 01.02.2020 г.</t>
      </is>
    </nc>
  </rcc>
  <rcc rId="15503" sId="13">
    <oc r="C3" t="inlineStr">
      <is>
        <t>назначено на 2019 г.</t>
      </is>
    </oc>
    <nc r="C3" t="inlineStr">
      <is>
        <t>назначено на 2020 г.</t>
      </is>
    </nc>
  </rcc>
  <rcc rId="15504" sId="13">
    <oc r="D3" t="inlineStr">
      <is>
        <t>исполнен на 01.01.2020 г.</t>
      </is>
    </oc>
    <nc r="D3" t="inlineStr">
      <is>
        <t>исполнен на 01.02.2020 г.</t>
      </is>
    </nc>
  </rcc>
  <rcc rId="15505" sId="13">
    <oc r="C52" t="inlineStr">
      <is>
        <t>назначено на 2019 г.</t>
      </is>
    </oc>
    <nc r="C52" t="inlineStr">
      <is>
        <t>назначено на 2020 г.</t>
      </is>
    </nc>
  </rcc>
  <rcc rId="15506" sId="13">
    <oc r="D52" t="inlineStr">
      <is>
        <t>исполнено на 01.01.2020 г.</t>
      </is>
    </oc>
    <nc r="D52" t="inlineStr">
      <is>
        <t>исполнено на 01.02.2020 г.</t>
      </is>
    </nc>
  </rcc>
  <rcc rId="15507" sId="13" numFmtId="4">
    <oc r="C6">
      <v>64.421999999999997</v>
    </oc>
    <nc r="C6">
      <v>74.3</v>
    </nc>
  </rcc>
  <rcc rId="15508" sId="13" numFmtId="4">
    <oc r="D6">
      <v>76.767859999999999</v>
    </oc>
    <nc r="D6">
      <v>0.33015</v>
    </nc>
  </rcc>
  <rcc rId="15509" sId="13" numFmtId="4">
    <oc r="C8">
      <v>123.79</v>
    </oc>
    <nc r="C8">
      <v>144.09</v>
    </nc>
  </rcc>
  <rcc rId="15510" sId="13" numFmtId="4">
    <oc r="D8">
      <v>183.45526000000001</v>
    </oc>
    <nc r="D8">
      <v>14.62534</v>
    </nc>
  </rcc>
  <rcc rId="15511" sId="13" numFmtId="4">
    <oc r="C9">
      <v>1.33</v>
    </oc>
    <nc r="C9">
      <v>1.55</v>
    </nc>
  </rcc>
  <rcc rId="15512" sId="13" numFmtId="4">
    <oc r="D9">
      <v>1.3484400000000001</v>
    </oc>
    <nc r="D9">
      <v>9.9510000000000001E-2</v>
    </nc>
  </rcc>
  <rcc rId="15513" sId="13" numFmtId="4">
    <oc r="C10">
      <v>206.75</v>
    </oc>
    <nc r="C10">
      <v>240.66</v>
    </nc>
  </rcc>
  <rcc rId="15514" sId="13" numFmtId="4">
    <oc r="D10">
      <v>245.09684999999999</v>
    </oc>
    <nc r="D10">
      <v>20.06823</v>
    </nc>
  </rcc>
  <rcc rId="15515" sId="13" numFmtId="4">
    <oc r="D11">
      <v>-26.864419999999999</v>
    </oc>
    <nc r="D11">
      <v>-2.6886399999999999</v>
    </nc>
  </rcc>
  <rcc rId="15516" sId="13" numFmtId="4">
    <oc r="D13">
      <v>6.9966900000000001</v>
    </oc>
    <nc r="D13">
      <v>0</v>
    </nc>
  </rcc>
  <rcc rId="15517" sId="13" numFmtId="4">
    <oc r="C15">
      <v>294</v>
    </oc>
    <nc r="C15">
      <v>190</v>
    </nc>
  </rcc>
  <rcc rId="15518" sId="13" numFmtId="4">
    <oc r="D15">
      <v>335.86909000000003</v>
    </oc>
    <nc r="D15">
      <v>0.17971999999999999</v>
    </nc>
  </rcc>
  <rcc rId="15519" sId="13" numFmtId="4">
    <oc r="C16">
      <v>392</v>
    </oc>
    <nc r="C16">
      <v>380</v>
    </nc>
  </rcc>
  <rcc rId="15520" sId="13" numFmtId="4">
    <oc r="D16">
      <v>404.16068000000001</v>
    </oc>
    <nc r="D16">
      <v>9.0491100000000007</v>
    </nc>
  </rcc>
  <rcc rId="15521" sId="13" numFmtId="4">
    <oc r="C18">
      <v>10</v>
    </oc>
    <nc r="C18">
      <v>5</v>
    </nc>
  </rcc>
  <rcc rId="15522" sId="13" numFmtId="4">
    <oc r="D18">
      <v>5.0999999999999996</v>
    </oc>
    <nc r="D18">
      <v>0.75</v>
    </nc>
  </rcc>
  <rcc rId="15523" sId="13" numFmtId="4">
    <oc r="C27">
      <v>97</v>
    </oc>
    <nc r="C27">
      <v>77</v>
    </nc>
  </rcc>
  <rcc rId="15524" sId="13" numFmtId="4">
    <oc r="D27">
      <v>79.817390000000003</v>
    </oc>
    <nc r="D27">
      <v>0</v>
    </nc>
  </rcc>
  <rcc rId="15525" sId="13" numFmtId="4">
    <oc r="C39">
      <v>1275.4000000000001</v>
    </oc>
    <nc r="C39">
      <v>1358.5</v>
    </nc>
  </rcc>
  <rcc rId="15526" sId="13" numFmtId="4">
    <oc r="D39">
      <v>1275.4000000000001</v>
    </oc>
    <nc r="D39">
      <v>113.206</v>
    </nc>
  </rcc>
  <rcc rId="15527" sId="13" numFmtId="4">
    <oc r="C41">
      <v>690</v>
    </oc>
    <nc r="C41">
      <v>466</v>
    </nc>
  </rcc>
  <rcc rId="15528" sId="13" numFmtId="4">
    <oc r="D41">
      <v>690</v>
    </oc>
    <nc r="D41">
      <v>0</v>
    </nc>
  </rcc>
  <rcc rId="15529" sId="13" numFmtId="4">
    <oc r="D42">
      <v>1474.0385200000001</v>
    </oc>
    <nc r="D42"/>
  </rcc>
  <rcc rId="15530" sId="13" numFmtId="4">
    <oc r="C43">
      <v>92.456000000000003</v>
    </oc>
    <nc r="C43">
      <v>92.584999999999994</v>
    </nc>
  </rcc>
  <rcc rId="15531" sId="13" numFmtId="4">
    <oc r="D43">
      <v>92.456000000000003</v>
    </oc>
    <nc r="D43">
      <v>7.4668000000000001</v>
    </nc>
  </rcc>
  <rcc rId="15532" sId="13" numFmtId="4">
    <oc r="C44">
      <v>1122.45</v>
    </oc>
    <nc r="C44"/>
  </rcc>
  <rcc rId="15533" sId="13" numFmtId="4">
    <oc r="D44">
      <v>1122.45</v>
    </oc>
    <nc r="D44"/>
  </rcc>
  <rcc rId="15534" sId="13" numFmtId="4">
    <oc r="C45">
      <v>6.1711999999999998</v>
    </oc>
    <nc r="C45"/>
  </rcc>
  <rcc rId="15535" sId="13" numFmtId="4">
    <oc r="D45">
      <v>193.72120000000001</v>
    </oc>
    <nc r="D45"/>
  </rcc>
  <rcc rId="15536" sId="13" numFmtId="4">
    <oc r="C42">
      <v>1474.0385200000001</v>
    </oc>
    <nc r="C42">
      <v>499.47</v>
    </nc>
  </rcc>
  <rcc rId="15537" sId="13" numFmtId="34">
    <oc r="C56">
      <v>1111.8499999999999</v>
    </oc>
    <nc r="C56">
      <v>1019.8</v>
    </nc>
  </rcc>
  <rcc rId="15538" sId="13" numFmtId="34">
    <oc r="C59">
      <v>0</v>
    </oc>
    <nc r="C59">
      <v>19</v>
    </nc>
  </rcc>
  <rcc rId="15539" sId="13" numFmtId="34">
    <oc r="C61">
      <v>8.4489999999999998</v>
    </oc>
    <nc r="C61">
      <v>2.6930000000000001</v>
    </nc>
  </rcc>
  <rcc rId="15540" sId="13" numFmtId="34">
    <oc r="D61">
      <v>8.4484999999999992</v>
    </oc>
    <nc r="D61">
      <v>0</v>
    </nc>
  </rcc>
  <rcc rId="15541" sId="13" numFmtId="34">
    <oc r="C63">
      <v>89.944999999999993</v>
    </oc>
    <nc r="C63">
      <v>89.605000000000004</v>
    </nc>
  </rcc>
  <rcc rId="15542" sId="13" numFmtId="34">
    <oc r="D63">
      <v>89.944999999999993</v>
    </oc>
    <nc r="D63">
      <v>2</v>
    </nc>
  </rcc>
  <rcc rId="15543" sId="13" numFmtId="34">
    <oc r="C67">
      <v>2.7031100000000001</v>
    </oc>
    <nc r="C67">
      <v>2</v>
    </nc>
  </rcc>
  <rcc rId="15544" sId="13" numFmtId="34">
    <oc r="D67">
      <v>2.7031100000000001</v>
    </oc>
    <nc r="D67">
      <v>0</v>
    </nc>
  </rcc>
  <rcc rId="15545" sId="13" numFmtId="34">
    <oc r="D68">
      <v>2</v>
    </oc>
    <nc r="D68">
      <v>0</v>
    </nc>
  </rcc>
  <rcc rId="15546" sId="13" numFmtId="34">
    <oc r="D69">
      <v>2</v>
    </oc>
    <nc r="D69">
      <v>0</v>
    </nc>
  </rcc>
  <rcc rId="15547" sId="13" numFmtId="34">
    <oc r="C71">
      <v>6.7024999999999997</v>
    </oc>
    <nc r="C71">
      <v>7.1580000000000004</v>
    </nc>
  </rcc>
  <rcc rId="15548" sId="13" numFmtId="34">
    <oc r="D71">
      <v>6.7024999999999997</v>
    </oc>
    <nc r="D71">
      <v>0</v>
    </nc>
  </rcc>
  <rcc rId="15549" sId="13" numFmtId="34">
    <oc r="C72">
      <v>0</v>
    </oc>
    <nc r="C72">
      <v>360</v>
    </nc>
  </rcc>
  <rcc rId="15550" sId="13" numFmtId="34">
    <oc r="C73">
      <v>2037.94742</v>
    </oc>
    <nc r="C73">
      <v>951.77</v>
    </nc>
  </rcc>
  <rcc rId="15551" sId="13" numFmtId="34">
    <oc r="D73">
      <v>1991.6120000000001</v>
    </oc>
    <nc r="D73">
      <v>9.1999999999999993</v>
    </nc>
  </rcc>
  <rcc rId="15552" sId="13" numFmtId="34">
    <oc r="C74">
      <v>28.305</v>
    </oc>
    <nc r="C74">
      <v>0</v>
    </nc>
  </rcc>
  <rcc rId="15553" sId="13" numFmtId="34">
    <oc r="D74">
      <v>28.305</v>
    </oc>
    <nc r="D74">
      <v>0</v>
    </nc>
  </rcc>
  <rcc rId="15554" sId="13" numFmtId="34">
    <oc r="D78">
      <v>238.12428</v>
    </oc>
    <nc r="D78">
      <v>0</v>
    </nc>
  </rcc>
  <rcc rId="15555" sId="13" numFmtId="34">
    <oc r="C80">
      <v>2599.6370000000002</v>
    </oc>
    <nc r="C80">
      <v>947.8</v>
    </nc>
  </rcc>
  <rcc rId="15556" sId="13" numFmtId="34">
    <oc r="D80">
      <v>2541.3860800000002</v>
    </oc>
    <nc r="D80">
      <v>75</v>
    </nc>
  </rcc>
  <rcc rId="15557" sId="13" numFmtId="34">
    <oc r="C87">
      <v>5.6968899999999998</v>
    </oc>
    <nc r="C87">
      <v>2</v>
    </nc>
  </rcc>
  <rcc rId="15558" sId="13" numFmtId="34">
    <oc r="D87">
      <v>5.6959999999999997</v>
    </oc>
    <nc r="D87">
      <v>0</v>
    </nc>
  </rcc>
  <rcc rId="15559" sId="13" numFmtId="34">
    <oc r="D56">
      <v>1107.6683499999999</v>
    </oc>
    <nc r="D56">
      <v>24</v>
    </nc>
  </rcc>
  <rcc rId="15560" sId="13" numFmtId="34">
    <oc r="C78">
      <v>238.12430000000001</v>
    </oc>
    <nc r="C78">
      <v>289.32900000000001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19590" sId="2" numFmtId="4">
    <oc r="D32">
      <v>4589.99809</v>
    </oc>
    <nc r="D32">
      <v>12147.649009999999</v>
    </nc>
  </rcc>
  <rcc rId="19591" sId="2" numFmtId="4">
    <oc r="G32">
      <v>1951.83959</v>
    </oc>
    <nc r="G32">
      <v>4897.3225300000004</v>
    </nc>
  </rcc>
  <rcc rId="19592" sId="2" numFmtId="4">
    <oc r="J32">
      <v>318.45472999999998</v>
    </oc>
    <nc r="J32">
      <v>768.41828999999996</v>
    </nc>
  </rcc>
  <rcc rId="19593" sId="2" numFmtId="4">
    <oc r="M32">
      <v>352.35536000000002</v>
    </oc>
    <nc r="M32">
      <v>652.07452000000001</v>
    </nc>
  </rcc>
  <rcc rId="19594" sId="2" numFmtId="4">
    <oc r="P32">
      <v>2.3975399999999998</v>
    </oc>
    <nc r="P32">
      <v>4.8647999999999998</v>
    </nc>
  </rcc>
  <rcc rId="19595" sId="2" numFmtId="4">
    <oc r="S32">
      <v>483.48590000000002</v>
    </oc>
    <nc r="S32">
      <v>933.40286000000003</v>
    </nc>
  </rcc>
  <rcc rId="19596" sId="2" numFmtId="4">
    <oc r="V32">
      <v>-64.775540000000007</v>
    </oc>
    <nc r="V32">
      <v>-127.30303000000001</v>
    </nc>
  </rcc>
  <rcc rId="19597" sId="2" numFmtId="4">
    <oc r="Y32">
      <v>2.8584000000000001</v>
    </oc>
    <nc r="Y32">
      <v>41.072699999999998</v>
    </nc>
  </rcc>
  <rcc rId="19598" sId="2" numFmtId="4">
    <oc r="AB32">
      <v>63.228380000000001</v>
    </oc>
    <nc r="AB32">
      <v>537.51107000000002</v>
    </nc>
  </rcc>
  <rcc rId="19599" sId="2" numFmtId="4">
    <oc r="AE32">
      <v>533.96861000000001</v>
    </oc>
    <nc r="AE32">
      <v>1442.13679</v>
    </nc>
  </rcc>
  <rcc rId="19600" sId="2" numFmtId="4">
    <oc r="AH32">
      <v>5.25</v>
    </oc>
    <nc r="AH32">
      <v>13.1</v>
    </nc>
  </rcc>
  <rcc rId="19601" sId="2" numFmtId="4">
    <oc r="AQ32">
      <v>195.67151000000001</v>
    </oc>
    <nc r="AQ32">
      <v>469.37952000000001</v>
    </nc>
  </rcc>
  <rcc rId="19602" sId="2" numFmtId="4">
    <oc r="AT32">
      <v>18.797180000000001</v>
    </oc>
    <nc r="AT32">
      <v>59.313679999999998</v>
    </nc>
  </rcc>
  <rcc rId="19603" sId="2" numFmtId="4">
    <oc r="AZ32">
      <v>42.127519999999997</v>
    </oc>
    <nc r="AZ32">
      <v>101.68965</v>
    </nc>
  </rcc>
  <rcc rId="19604" sId="2" numFmtId="4">
    <oc r="BF32">
      <v>0</v>
    </oc>
    <nc r="BF32">
      <v>4.42</v>
    </nc>
  </rcc>
  <rcc rId="19605" sId="2" numFmtId="4">
    <oc r="CA32">
      <v>2638.1585</v>
    </oc>
    <nc r="CA32">
      <v>7250.3264799999997</v>
    </nc>
  </rcc>
  <rcc rId="19606" sId="2" numFmtId="4">
    <oc r="CD32">
      <v>2458.9585000000002</v>
    </oc>
    <nc r="CD32">
      <v>4917.9170000000004</v>
    </nc>
  </rcc>
  <rcc rId="19607" sId="2" numFmtId="4">
    <oc r="CJ32">
      <v>0</v>
    </oc>
    <nc r="CJ32">
      <v>1000.068</v>
    </nc>
  </rcc>
  <rcc rId="19608" sId="2" numFmtId="4">
    <oc r="CM32">
      <v>179.2</v>
    </oc>
    <nc r="CM32">
      <v>358.4</v>
    </nc>
  </rcc>
  <rcc rId="19609" sId="2" numFmtId="4">
    <oc r="CS32">
      <v>0</v>
    </oc>
    <nc r="CS32">
      <v>973.94147999999996</v>
    </nc>
  </rcc>
  <rcc rId="19610" sId="2" numFmtId="4">
    <oc r="DG32">
      <v>103487.76155</v>
    </oc>
    <nc r="DG32">
      <v>124529.36155</v>
    </nc>
  </rcc>
  <rcc rId="19611" sId="2" numFmtId="4">
    <oc r="DH32">
      <v>2974.8039600000002</v>
    </oc>
    <nc r="DH32">
      <v>9795.9443300000003</v>
    </nc>
  </rcc>
  <rcc rId="19612" sId="2" numFmtId="4">
    <oc r="DK32">
      <v>594.39980000000003</v>
    </oc>
    <nc r="DK32">
      <v>2545.92875</v>
    </nc>
  </rcc>
  <rcc rId="19613" sId="2" numFmtId="4">
    <oc r="DN32">
      <v>594.39980000000003</v>
    </oc>
    <nc r="DN32">
      <v>2538.92875</v>
    </nc>
  </rcc>
  <rcc rId="19614" sId="2" numFmtId="4">
    <oc r="DW32">
      <v>0</v>
    </oc>
    <nc r="DW32">
      <v>7</v>
    </nc>
  </rcc>
  <rcc rId="19615" sId="2" numFmtId="4">
    <oc r="DZ32">
      <v>51.6</v>
    </oc>
    <nc r="DZ32">
      <v>243.91227000000001</v>
    </nc>
  </rcc>
  <rcc rId="19616" sId="2" numFmtId="4">
    <oc r="EC32">
      <v>5.5</v>
    </oc>
    <nc r="EC32">
      <v>7</v>
    </nc>
  </rcc>
  <rcc rId="19617" sId="2" numFmtId="4">
    <oc r="EE32">
      <v>32596.46515</v>
    </oc>
    <nc r="EE32">
      <v>50843.365149999998</v>
    </nc>
  </rcc>
  <rcc rId="19618" sId="2" numFmtId="4">
    <oc r="EF32">
      <v>263.64665000000002</v>
    </oc>
    <nc r="EF32">
      <v>2036.83808</v>
    </nc>
  </rcc>
  <rcc rId="19619" sId="2" numFmtId="4">
    <oc r="EH32">
      <v>17948.446400000001</v>
    </oc>
    <nc r="EH32">
      <v>20576.146400000001</v>
    </nc>
  </rcc>
  <rcc rId="19620" sId="2" numFmtId="4">
    <oc r="EI32">
      <v>148.09558999999999</v>
    </oc>
    <nc r="EI32">
      <v>825.84245999999996</v>
    </nc>
  </rcc>
  <rcc rId="19621" sId="2" numFmtId="4">
    <oc r="EK32">
      <v>26537.152999999998</v>
    </oc>
    <nc r="EK32">
      <v>26674.152999999998</v>
    </nc>
  </rcc>
  <rcc rId="19622" sId="2" numFmtId="4">
    <oc r="EL32">
      <v>1909.3119200000001</v>
    </oc>
    <nc r="EL32">
      <v>4117.3177699999997</v>
    </nc>
  </rcc>
  <rcc rId="19623" sId="2" numFmtId="4">
    <oc r="EQ32">
      <v>133.024</v>
    </oc>
    <nc r="EQ32">
      <v>163.024</v>
    </nc>
  </rcc>
  <rcc rId="19624" sId="2" numFmtId="4">
    <oc r="ER32">
      <v>2.25</v>
    </oc>
    <nc r="ER32">
      <v>19.105</v>
    </nc>
  </rcc>
  <rcc rId="19625" sId="2" numFmtId="4">
    <oc r="ET32">
      <f>#REF!-ET31</f>
    </oc>
    <nc r="ET32">
      <v>0</v>
    </nc>
  </rcc>
  <rcc rId="19626" sId="2" numFmtId="4">
    <oc r="EU32">
      <f>#REF!-EU31</f>
    </oc>
    <nc r="EU32">
      <v>0</v>
    </nc>
  </rcc>
  <rcc rId="19627" sId="2" numFmtId="4">
    <oc r="EW32">
      <v>-650.25854000000004</v>
    </oc>
    <nc r="EW32">
      <v>-817.25854000000004</v>
    </nc>
  </rcc>
  <rcc rId="19628" sId="2" numFmtId="4">
    <oc r="EX32">
      <v>1615.1941300000001</v>
    </oc>
    <nc r="EX32">
      <v>2351.7046799999998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41.xml><?xml version="1.0" encoding="utf-8"?>
<revisions xmlns="http://schemas.openxmlformats.org/spreadsheetml/2006/main" xmlns:r="http://schemas.openxmlformats.org/officeDocument/2006/relationships">
  <rcc rId="19525" sId="2">
    <oc r="B5" t="inlineStr">
      <is>
        <t>об исполнении бюджетов поселений  Моргаушского района  на 1 февраля 2020 г.</t>
      </is>
    </oc>
    <nc r="B5" t="inlineStr">
      <is>
        <t>об исполнении бюджетов поселений  Моргаушского района  на 1 марта 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4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8" sqref="C40:D40 C51:D51">
    <dxf>
      <numFmt numFmtId="172" formatCode="#,##0.00000"/>
    </dxf>
  </rfmt>
  <rfmt sheetId="8" sqref="C40:D40 C51:D51">
    <dxf>
      <numFmt numFmtId="186" formatCode="#,##0.0000"/>
    </dxf>
  </rfmt>
  <rfmt sheetId="8" sqref="C40:D40 C51:D51">
    <dxf>
      <numFmt numFmtId="187" formatCode="#,##0.000"/>
    </dxf>
  </rfmt>
  <rfmt sheetId="8" sqref="C40:D40 C51:D51">
    <dxf>
      <numFmt numFmtId="4" formatCode="#,##0.00"/>
    </dxf>
  </rfmt>
  <rfmt sheetId="8" sqref="C40:D40 C51:D51">
    <dxf>
      <numFmt numFmtId="167" formatCode="#,##0.0"/>
    </dxf>
  </rfmt>
  <rfmt sheetId="8" sqref="C98:D98">
    <dxf>
      <numFmt numFmtId="186" formatCode="#,##0.0000"/>
    </dxf>
  </rfmt>
  <rfmt sheetId="8" sqref="C98:D98">
    <dxf>
      <numFmt numFmtId="187" formatCode="#,##0.000"/>
    </dxf>
  </rfmt>
  <rfmt sheetId="8" sqref="C98:D98">
    <dxf>
      <numFmt numFmtId="4" formatCode="#,##0.00"/>
    </dxf>
  </rfmt>
  <rfmt sheetId="8" sqref="C98:D98">
    <dxf>
      <numFmt numFmtId="167" formatCode="#,##0.0"/>
    </dxf>
  </rfmt>
  <rfmt sheetId="9" sqref="C103:D103">
    <dxf>
      <numFmt numFmtId="186" formatCode="#,##0.0000"/>
    </dxf>
  </rfmt>
  <rfmt sheetId="9" sqref="C103:D103">
    <dxf>
      <numFmt numFmtId="187" formatCode="#,##0.000"/>
    </dxf>
  </rfmt>
  <rfmt sheetId="9" sqref="C103:D103">
    <dxf>
      <numFmt numFmtId="4" formatCode="#,##0.00"/>
    </dxf>
  </rfmt>
  <rfmt sheetId="9" sqref="C103:D103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5780" sId="16">
    <oc r="A1" t="inlineStr">
      <is>
        <t xml:space="preserve">                     Анализ исполнения бюджета Юнгинского сельского поселения на 01.01.2020 г.</t>
      </is>
    </oc>
    <nc r="A1" t="inlineStr">
      <is>
        <t xml:space="preserve">                     Анализ исполнения бюджета Юнгинского сельского поселения на 01.02.2020 г.</t>
      </is>
    </nc>
  </rcc>
  <rcc rId="15781" sId="16">
    <oc r="C3" t="inlineStr">
      <is>
        <t>назначено на 2019 г.</t>
      </is>
    </oc>
    <nc r="C3" t="inlineStr">
      <is>
        <t>назначено на 2020 г.</t>
      </is>
    </nc>
  </rcc>
  <rcc rId="15782" sId="16">
    <oc r="D3" t="inlineStr">
      <is>
        <t>исполнен на 01.01.2020 г.</t>
      </is>
    </oc>
    <nc r="D3" t="inlineStr">
      <is>
        <t>исполнен на 01.02.2020 г.</t>
      </is>
    </nc>
  </rcc>
  <rcc rId="15783" sId="16">
    <oc r="C53" t="inlineStr">
      <is>
        <t>назначено на 2019 г.</t>
      </is>
    </oc>
    <nc r="C53" t="inlineStr">
      <is>
        <t>назначено на 2020 г.</t>
      </is>
    </nc>
  </rcc>
  <rcc rId="15784" sId="16">
    <oc r="D53" t="inlineStr">
      <is>
        <t>исполнено на 01.01.2020 г.</t>
      </is>
    </oc>
    <nc r="D53" t="inlineStr">
      <is>
        <t>исполнено на 01.02.2020 г.</t>
      </is>
    </nc>
  </rcc>
  <rcc rId="15785" sId="16" numFmtId="4">
    <oc r="C6">
      <v>112.63200000000001</v>
    </oc>
    <nc r="C6">
      <v>115.4</v>
    </nc>
  </rcc>
  <rcc rId="15786" sId="16" numFmtId="4">
    <oc r="D6">
      <v>111.63984000000001</v>
    </oc>
    <nc r="D6">
      <v>4.1180599999999998</v>
    </nc>
  </rcc>
  <rcc rId="15787" sId="16" numFmtId="4">
    <oc r="C8">
      <v>186.49</v>
    </oc>
    <nc r="C8">
      <v>227.51</v>
    </nc>
  </rcc>
  <rcc rId="15788" sId="16" numFmtId="4">
    <oc r="D8">
      <v>276.37416000000002</v>
    </oc>
    <nc r="D8">
      <v>23.092649999999999</v>
    </nc>
  </rcc>
  <rcc rId="15789" sId="16" numFmtId="4">
    <oc r="C9">
      <v>2</v>
    </oc>
    <nc r="C9">
      <v>2.4300000000000002</v>
    </nc>
  </rcc>
  <rcc rId="15790" sId="16" numFmtId="4">
    <oc r="D9">
      <v>2.0314199999999998</v>
    </oc>
    <nc r="D9">
      <v>0.15712999999999999</v>
    </nc>
  </rcc>
  <rcc rId="15791" sId="16" numFmtId="4">
    <oc r="C10">
      <v>311.47000000000003</v>
    </oc>
    <nc r="C10">
      <v>380</v>
    </nc>
  </rcc>
  <rcc rId="15792" sId="16" numFmtId="4">
    <oc r="D10">
      <v>369.23682000000002</v>
    </oc>
    <nc r="D10">
      <v>31.686679999999999</v>
    </nc>
  </rcc>
  <rcc rId="15793" sId="16" numFmtId="4">
    <oc r="D11">
      <v>-40.471069999999997</v>
    </oc>
    <nc r="D11">
      <v>-4.2452500000000004</v>
    </nc>
  </rcc>
  <rcc rId="15794" sId="16" numFmtId="4">
    <oc r="C13">
      <v>40</v>
    </oc>
    <nc r="C13">
      <v>20</v>
    </nc>
  </rcc>
  <rcc rId="15795" sId="16" numFmtId="4">
    <oc r="D13">
      <v>13.895189999999999</v>
    </oc>
    <nc r="D13">
      <v>0</v>
    </nc>
  </rcc>
  <rcc rId="15796" sId="16" numFmtId="4">
    <oc r="C15">
      <v>229</v>
    </oc>
    <nc r="C15">
      <v>260</v>
    </nc>
  </rcc>
  <rcc rId="15797" sId="16" numFmtId="4">
    <oc r="D15">
      <v>241.11515</v>
    </oc>
    <nc r="D15">
      <v>1.79209</v>
    </nc>
  </rcc>
  <rcc rId="15798" sId="16" numFmtId="4">
    <oc r="C16">
      <v>1820</v>
    </oc>
    <nc r="C16">
      <v>1979</v>
    </nc>
  </rcc>
  <rcc rId="15799" sId="16" numFmtId="4">
    <oc r="D16">
      <v>1966.5665799999999</v>
    </oc>
    <nc r="D16">
      <v>26.432449999999999</v>
    </nc>
  </rcc>
  <rcc rId="15800" sId="16" numFmtId="4">
    <oc r="C18">
      <v>12</v>
    </oc>
    <nc r="C18">
      <v>10</v>
    </nc>
  </rcc>
  <rcc rId="15801" sId="16" numFmtId="4">
    <oc r="D18">
      <v>9.25</v>
    </oc>
    <nc r="D18">
      <v>1</v>
    </nc>
  </rcc>
  <rcc rId="15802" sId="16" numFmtId="4">
    <oc r="C27">
      <v>264.39999999999998</v>
    </oc>
    <nc r="C27">
      <v>353.3</v>
    </nc>
  </rcc>
  <rcc rId="15803" sId="16" numFmtId="4">
    <oc r="D27">
      <v>313.62047999999999</v>
    </oc>
    <nc r="D27">
      <v>0</v>
    </nc>
  </rcc>
  <rcc rId="15804" sId="16" numFmtId="4">
    <oc r="C28">
      <v>60.7</v>
    </oc>
    <nc r="C28">
      <v>79.5</v>
    </nc>
  </rcc>
  <rcc rId="15805" sId="16" numFmtId="4">
    <oc r="D28">
      <v>62.905970000000003</v>
    </oc>
    <nc r="D28">
      <v>1.3547499999999999</v>
    </nc>
  </rcc>
  <rcc rId="15806" sId="16" numFmtId="4">
    <oc r="C30">
      <v>70</v>
    </oc>
    <nc r="C30">
      <v>0</v>
    </nc>
  </rcc>
  <rcc rId="15807" sId="16" numFmtId="4">
    <oc r="D30">
      <v>112.6438</v>
    </oc>
    <nc r="D30">
      <v>7.1010799999999996</v>
    </nc>
  </rcc>
  <rcc rId="15808" sId="16" numFmtId="4">
    <oc r="C35">
      <v>7</v>
    </oc>
    <nc r="C35"/>
  </rcc>
  <rcc rId="15809" sId="16" numFmtId="4">
    <oc r="D35">
      <v>7.7290099999999997</v>
    </oc>
    <nc r="D35"/>
  </rcc>
  <rcc rId="15810" sId="16" numFmtId="4">
    <oc r="C41">
      <v>767.8</v>
    </oc>
    <nc r="C41">
      <v>415.4</v>
    </nc>
  </rcc>
  <rcc rId="15811" sId="16" numFmtId="4">
    <oc r="D41">
      <v>767.8</v>
    </oc>
    <nc r="D41">
      <v>34.616</v>
    </nc>
  </rcc>
  <rcc rId="15812" sId="16" numFmtId="4">
    <oc r="C42">
      <v>830</v>
    </oc>
    <nc r="C42">
      <v>0</v>
    </nc>
  </rcc>
  <rcc rId="15813" sId="16" numFmtId="4">
    <oc r="D42">
      <v>830</v>
    </oc>
    <nc r="D42">
      <v>0</v>
    </nc>
  </rcc>
  <rcc rId="15814" sId="16" numFmtId="4">
    <oc r="C43">
      <v>1955.5148899999999</v>
    </oc>
    <nc r="C43">
      <v>861.44</v>
    </nc>
  </rcc>
  <rcc rId="15815" sId="16" numFmtId="4">
    <oc r="D43">
      <v>1955.4667099999999</v>
    </oc>
    <nc r="D43">
      <v>0</v>
    </nc>
  </rcc>
  <rcc rId="15816" sId="16" numFmtId="4">
    <oc r="C44">
      <v>91.736000000000004</v>
    </oc>
    <nc r="C44">
      <v>92.584999999999994</v>
    </nc>
  </rcc>
  <rcc rId="15817" sId="16" numFmtId="4">
    <oc r="D44">
      <v>91.736000000000004</v>
    </oc>
    <nc r="D44">
      <v>7.4667000000000003</v>
    </nc>
  </rcc>
  <rcc rId="15818" sId="16" numFmtId="4">
    <oc r="C45">
      <v>284.47899999999998</v>
    </oc>
    <nc r="C45"/>
  </rcc>
  <rcc rId="15819" sId="16" numFmtId="4">
    <oc r="D45">
      <v>284.47899999999998</v>
    </oc>
    <nc r="D45"/>
  </rcc>
  <rcc rId="15820" sId="16" numFmtId="4">
    <oc r="C48">
      <v>1.65</v>
    </oc>
    <nc r="C48"/>
  </rcc>
  <rcc rId="15821" sId="16" numFmtId="4">
    <oc r="D48">
      <v>36.65</v>
    </oc>
    <nc r="D48"/>
  </rcc>
  <rcc rId="15822" sId="16" numFmtId="34">
    <oc r="C57">
      <v>1470.01</v>
    </oc>
    <nc r="C57">
      <v>1474.8</v>
    </nc>
  </rcc>
  <rcc rId="15823" sId="16" numFmtId="34">
    <oc r="D57">
      <v>1462.54575</v>
    </oc>
    <nc r="D57">
      <v>28.145029999999998</v>
    </nc>
  </rcc>
  <rcc rId="15824" sId="16" numFmtId="34">
    <oc r="C60">
      <v>0</v>
    </oc>
    <nc r="C60">
      <v>30</v>
    </nc>
  </rcc>
  <rcc rId="15825" sId="16" numFmtId="34">
    <oc r="C62">
      <v>30.686</v>
    </oc>
    <nc r="C62">
      <v>3.6280000000000001</v>
    </nc>
  </rcc>
  <rcc rId="15826" sId="16" numFmtId="34">
    <oc r="D62">
      <v>30.686</v>
    </oc>
    <nc r="D62">
      <v>0</v>
    </nc>
  </rcc>
  <rcc rId="15827" sId="16" numFmtId="34">
    <oc r="C64">
      <v>89.945999999999998</v>
    </oc>
    <nc r="C64">
      <v>89.605000000000004</v>
    </nc>
  </rcc>
  <rcc rId="15828" sId="16" numFmtId="34">
    <oc r="D64">
      <v>89.945999999999998</v>
    </oc>
    <nc r="D64">
      <v>2</v>
    </nc>
  </rcc>
  <rcc rId="15829" sId="16" numFmtId="34">
    <oc r="C68">
      <v>28.699110000000001</v>
    </oc>
    <nc r="C68">
      <v>2</v>
    </nc>
  </rcc>
  <rcc rId="15830" sId="16" numFmtId="34">
    <oc r="D68">
      <v>28.699110000000001</v>
    </oc>
    <nc r="D68">
      <v>0</v>
    </nc>
  </rcc>
  <rcc rId="15831" sId="16" numFmtId="34">
    <oc r="C69">
      <v>26.777000000000001</v>
    </oc>
    <nc r="C69">
      <v>18</v>
    </nc>
  </rcc>
  <rcc rId="15832" sId="16" numFmtId="34">
    <oc r="D69">
      <v>24.806519999999999</v>
    </oc>
    <nc r="D69">
      <v>1.5</v>
    </nc>
  </rcc>
  <rcc rId="15833" sId="16" numFmtId="34">
    <oc r="D70">
      <v>2</v>
    </oc>
    <nc r="D70">
      <v>0</v>
    </nc>
  </rcc>
  <rcc rId="15834" sId="16" numFmtId="34">
    <oc r="C72">
      <v>4.0214999999999996</v>
    </oc>
    <nc r="C72">
      <v>7.1580000000000004</v>
    </nc>
  </rcc>
  <rcc rId="15835" sId="16" numFmtId="34">
    <oc r="D72">
      <v>4.0214999999999996</v>
    </oc>
    <nc r="D72">
      <v>0</v>
    </nc>
  </rcc>
  <rcc rId="15836" sId="16" numFmtId="34">
    <oc r="C73">
      <v>1103.7805599999999</v>
    </oc>
    <nc r="C73">
      <v>170</v>
    </nc>
  </rcc>
  <rcc rId="15837" sId="16" numFmtId="34">
    <oc r="D73">
      <v>1093.8543400000001</v>
    </oc>
    <nc r="D73">
      <v>35</v>
    </nc>
  </rcc>
  <rcc rId="15838" sId="16" numFmtId="34">
    <oc r="C74">
      <v>1995.41372</v>
    </oc>
    <nc r="C74">
      <v>1471.38</v>
    </nc>
  </rcc>
  <rcc rId="15839" sId="16" numFmtId="34">
    <oc r="D74">
      <v>1971.4374</v>
    </oc>
    <nc r="D74">
      <v>14.851000000000001</v>
    </nc>
  </rcc>
  <rcc rId="15840" sId="16" numFmtId="34">
    <oc r="C75">
      <v>241.804</v>
    </oc>
    <nc r="C75">
      <v>60</v>
    </nc>
  </rcc>
  <rcc rId="15841" sId="16" numFmtId="34">
    <oc r="D75">
      <v>241.804</v>
    </oc>
    <nc r="D75">
      <v>8.9</v>
    </nc>
  </rcc>
  <rcc rId="15842" sId="16" numFmtId="34">
    <oc r="C79">
      <v>533.59951999999998</v>
    </oc>
    <nc r="C79">
      <v>395.49400000000003</v>
    </nc>
  </rcc>
  <rcc rId="15843" sId="16" numFmtId="34">
    <oc r="D79">
      <v>463.56686999999999</v>
    </oc>
    <nc r="D79">
      <v>3</v>
    </nc>
  </rcc>
  <rcc rId="15844" sId="16" numFmtId="34">
    <oc r="C81">
      <v>1677.702</v>
    </oc>
    <nc r="C81">
      <v>1065.5</v>
    </nc>
  </rcc>
  <rcc rId="15845" sId="16" numFmtId="34">
    <oc r="D81">
      <v>1677.6991700000001</v>
    </oc>
    <nc r="D81">
      <v>88.26</v>
    </nc>
  </rcc>
  <rcc rId="15846" sId="16" numFmtId="34">
    <oc r="C88">
      <v>20.332999999999998</v>
    </oc>
    <nc r="C88">
      <v>2</v>
    </nc>
  </rcc>
  <rcc rId="15847" sId="16" numFmtId="34">
    <oc r="D88">
      <v>20.332999999999998</v>
    </oc>
    <nc r="D8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cc rId="15182" sId="10">
    <oc r="C54" t="inlineStr">
      <is>
        <t>назначено на 2019 г.</t>
      </is>
    </oc>
    <nc r="C54" t="inlineStr">
      <is>
        <t>назначено на 2020 г.</t>
      </is>
    </nc>
  </rcc>
  <rcc rId="15183" sId="10">
    <oc r="D54" t="inlineStr">
      <is>
        <t>исполнено на 01.01.2020 г.</t>
      </is>
    </oc>
    <nc r="D54" t="inlineStr">
      <is>
        <t>исполнено на 01.02.2020 г.</t>
      </is>
    </nc>
  </rcc>
  <rcc rId="15184" sId="10">
    <oc r="D3" t="inlineStr">
      <is>
        <t>исполнен на 01.01.2020 г.</t>
      </is>
    </oc>
    <nc r="D3" t="inlineStr">
      <is>
        <t>исполнен на 01.02.2020 г.</t>
      </is>
    </nc>
  </rcc>
  <rcc rId="15185" sId="10">
    <oc r="C3" t="inlineStr">
      <is>
        <t>назначено на 2019 г.</t>
      </is>
    </oc>
    <nc r="C3" t="inlineStr">
      <is>
        <t>назначено на 2020 г.</t>
      </is>
    </nc>
  </rcc>
  <rcc rId="15186" sId="10">
    <oc r="A1" t="inlineStr">
      <is>
        <t xml:space="preserve">                     Анализ исполнения бюджета Орининского сельского поселения на 01.01.2020 г.</t>
      </is>
    </oc>
    <nc r="A1" t="inlineStr">
      <is>
        <t xml:space="preserve">                     Анализ исполнения бюджета Орининского сельского поселения на 01.02.2020 г.</t>
      </is>
    </nc>
  </rcc>
  <rcc rId="15187" sId="10" numFmtId="4">
    <oc r="C6">
      <v>224.083</v>
    </oc>
    <nc r="C6">
      <v>187.5</v>
    </nc>
  </rcc>
  <rcc rId="15188" sId="10" numFmtId="4">
    <oc r="D6">
      <v>189.95368999999999</v>
    </oc>
    <nc r="D6">
      <v>13.768739999999999</v>
    </nc>
  </rcc>
  <rcc rId="15189" sId="10" numFmtId="4">
    <oc r="C8">
      <v>158.35</v>
    </oc>
    <nc r="C8">
      <v>183.91</v>
    </nc>
  </rcc>
  <rcc rId="15190" sId="10" numFmtId="4">
    <oc r="D8">
      <v>234.67979</v>
    </oc>
    <nc r="D8">
      <v>18.666550000000001</v>
    </nc>
  </rcc>
  <rcc rId="15191" sId="10" numFmtId="4">
    <oc r="C9">
      <v>1.6950000000000001</v>
    </oc>
    <nc r="C9">
      <v>1.97</v>
    </nc>
  </rcc>
  <rcc rId="15192" sId="10" numFmtId="4">
    <oc r="D9">
      <v>1.72496</v>
    </oc>
    <nc r="D9">
      <v>0.12701000000000001</v>
    </nc>
  </rcc>
  <rcc rId="15193" sId="10" numFmtId="4">
    <oc r="C10">
      <v>264.49</v>
    </oc>
    <nc r="C10">
      <v>307.16000000000003</v>
    </nc>
  </rcc>
  <rcc rId="15194" sId="10" numFmtId="4">
    <oc r="D10">
      <v>313.53298000000001</v>
    </oc>
    <nc r="D10">
      <v>25.613409999999998</v>
    </nc>
  </rcc>
  <rcc rId="15195" sId="10" numFmtId="4">
    <oc r="D11">
      <v>-34.365540000000003</v>
    </oc>
    <nc r="D11">
      <v>-3.4315799999999999</v>
    </nc>
  </rcc>
  <rcc rId="15196" sId="10" numFmtId="4">
    <oc r="C13">
      <v>40</v>
    </oc>
    <nc r="C13">
      <v>30</v>
    </nc>
  </rcc>
  <rcc rId="15197" sId="10" numFmtId="4">
    <oc r="D13">
      <v>9.3778500000000005</v>
    </oc>
    <nc r="D13">
      <v>0</v>
    </nc>
  </rcc>
  <rcc rId="15198" sId="10" numFmtId="4">
    <oc r="C15">
      <v>326</v>
    </oc>
    <nc r="C15">
      <v>290</v>
    </nc>
  </rcc>
  <rcc rId="15199" sId="10" numFmtId="4">
    <oc r="D15">
      <v>300.92039</v>
    </oc>
    <nc r="D15">
      <v>3.1266099999999999</v>
    </nc>
  </rcc>
  <rcc rId="15200" sId="10" numFmtId="4">
    <oc r="C16">
      <v>1550</v>
    </oc>
    <nc r="C16">
      <v>1492</v>
    </nc>
  </rcc>
  <rcc rId="15201" sId="10" numFmtId="4">
    <oc r="D16">
      <v>1471.8857</v>
    </oc>
    <nc r="D16">
      <v>29.829219999999999</v>
    </nc>
  </rcc>
  <rcc rId="15202" sId="10" numFmtId="4">
    <oc r="C18">
      <v>10</v>
    </oc>
    <nc r="C18">
      <v>6</v>
    </nc>
  </rcc>
  <rcc rId="15203" sId="10" numFmtId="4">
    <oc r="D18">
      <v>6.58</v>
    </oc>
    <nc r="D18">
      <v>0.7</v>
    </nc>
  </rcc>
  <rcc rId="15204" sId="10" numFmtId="4">
    <oc r="C27">
      <v>50</v>
    </oc>
    <nc r="C27">
      <v>230.4</v>
    </nc>
  </rcc>
  <rcc rId="15205" sId="10" numFmtId="4">
    <oc r="D27">
      <v>86.796859999999995</v>
    </oc>
    <nc r="D27">
      <v>10.23612</v>
    </nc>
  </rcc>
  <rcc rId="15206" sId="10" numFmtId="4">
    <oc r="C28">
      <v>45</v>
    </oc>
    <nc r="C28">
      <v>54</v>
    </nc>
  </rcc>
  <rcc rId="15207" sId="10" numFmtId="4">
    <oc r="D28">
      <v>49.5</v>
    </oc>
    <nc r="D28">
      <v>4.5</v>
    </nc>
  </rcc>
  <rcc rId="15208" sId="10" numFmtId="4">
    <oc r="C30">
      <v>35</v>
    </oc>
    <nc r="C30">
      <v>0</v>
    </nc>
  </rcc>
  <rcc rId="15209" sId="10" numFmtId="4">
    <oc r="D30">
      <v>77.439530000000005</v>
    </oc>
    <nc r="D30">
      <v>0</v>
    </nc>
  </rcc>
  <rcc rId="15210" sId="10" numFmtId="4">
    <oc r="D37">
      <v>-4.6500000000000004</v>
    </oc>
    <nc r="D37">
      <v>0</v>
    </nc>
  </rcc>
  <rcc rId="15211" sId="10" numFmtId="4">
    <oc r="C41">
      <v>1462.5</v>
    </oc>
    <nc r="C41">
      <v>1597</v>
    </nc>
  </rcc>
  <rcc rId="15212" sId="10" numFmtId="4">
    <oc r="D41">
      <v>1462.5</v>
    </oc>
    <nc r="D41">
      <v>133.08099999999999</v>
    </nc>
  </rcc>
  <rcc rId="15213" sId="10" numFmtId="4">
    <oc r="C42">
      <v>816</v>
    </oc>
    <nc r="C42">
      <v>150</v>
    </nc>
  </rcc>
  <rcc rId="15214" sId="10" numFmtId="4">
    <oc r="D42">
      <v>816</v>
    </oc>
    <nc r="D42">
      <v>0</v>
    </nc>
  </rcc>
  <rcc rId="15215" sId="10" numFmtId="4">
    <oc r="C43">
      <v>1165.08</v>
    </oc>
    <nc r="C43">
      <v>831.26499999999999</v>
    </nc>
  </rcc>
  <rcc rId="15216" sId="10" numFmtId="4">
    <oc r="D43">
      <v>1165.08</v>
    </oc>
    <nc r="D43">
      <v>0</v>
    </nc>
  </rcc>
  <rcc rId="15217" sId="10" numFmtId="4">
    <oc r="C45">
      <v>182.40299999999999</v>
    </oc>
    <nc r="C45"/>
  </rcc>
  <rcc rId="15218" sId="10" numFmtId="4">
    <oc r="D45">
      <v>182.40299999999999</v>
    </oc>
    <nc r="D45"/>
  </rcc>
  <rcc rId="15219" sId="10" numFmtId="4">
    <oc r="C46">
      <v>371.589</v>
    </oc>
    <nc r="C46"/>
  </rcc>
  <rcc rId="15220" sId="10" numFmtId="4">
    <oc r="D46">
      <v>371.48899999999998</v>
    </oc>
    <nc r="D46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0697" sId="1" numFmtId="4">
    <oc r="G24">
      <f>район!D61</f>
    </oc>
    <nc r="G24">
      <v>55792.841679999998</v>
    </nc>
  </rcc>
  <rcc rId="20698" sId="1">
    <oc r="G27">
      <f>G24+G23+G26</f>
    </oc>
    <nc r="G27">
      <f>G24+G23+G26</f>
    </nc>
  </rcc>
  <rcc rId="20699" sId="1">
    <oc r="G28">
      <f>24575.623-G27</f>
    </oc>
    <nc r="G28"/>
  </rcc>
  <rrc rId="20700" sId="1" ref="A28:XFD28" action="deleteRow">
    <undo index="2" exp="area" ref3D="1" dr="$A$44:$XFD$46" dn="Z_B30CE22D_C12F_4E12_8BB9_3AAE0A6991CC_.wvu.Rows" sId="1"/>
    <undo index="4" exp="area" ref3D="1" dr="$A$83:$XFD$85" dn="Z_B31C8DB7_3E78_4144_A6B5_8DE36DE63F0E_.wvu.Rows" sId="1"/>
    <undo index="2" exp="area" ref3D="1" dr="$A$44:$XFD$46" dn="Z_B31C8DB7_3E78_4144_A6B5_8DE36DE63F0E_.wvu.Rows" sId="1"/>
    <undo index="2" exp="area" ref3D="1" dr="$A$44:$XFD$46" dn="Z_A54C432C_6C68_4B53_A75C_446EB3A61B2B_.wvu.Rows" sId="1"/>
    <undo index="2" exp="area" ref3D="1" dr="$A$44:$XFD$46" dn="Z_61528DAC_5C4C_48F4_ADE2_8A724B05A086_.wvu.Rows" sId="1"/>
    <undo index="4" exp="area" ref3D="1" dr="$A$83:$XFD$85" dn="Z_5BFCA170_DEAE_4D2C_98A0_1E68B427AC01_.wvu.Rows" sId="1"/>
    <undo index="2" exp="area" ref3D="1" dr="$A$44:$XFD$46" dn="Z_5BFCA170_DEAE_4D2C_98A0_1E68B427AC01_.wvu.Rows" sId="1"/>
    <undo index="2" exp="area" ref3D="1" dr="$A$44:$XFD$46" dn="Z_42584DC0_1D41_4C93_9B38_C388E7B8DAC4_.wvu.Rows" sId="1"/>
    <undo index="4" exp="area" ref3D="1" dr="$A$83:$XFD$85" dn="Z_3DCB9AAA_F09C_4EA6_B992_F93E466D374A_.wvu.Rows" sId="1"/>
    <undo index="2" exp="area" ref3D="1" dr="$A$44:$XFD$46" dn="Z_3DCB9AAA_F09C_4EA6_B992_F93E466D374A_.wvu.Rows" sId="1"/>
    <undo index="4" exp="area" ref3D="1" dr="$A$83:$XFD$85" dn="Z_1A52382B_3765_4E8C_903F_6B8919B7242E_.wvu.Rows" sId="1"/>
    <undo index="2" exp="area" ref3D="1" dr="$A$44:$XFD$46" dn="Z_1A52382B_3765_4E8C_903F_6B8919B7242E_.wvu.Rows" sId="1"/>
    <undo index="2" exp="area" ref3D="1" dr="$A$44:$XFD$46" dn="Z_1718F1EE_9F48_4DBE_9531_3B70F9C4A5DD_.wvu.Rows" sId="1"/>
    <rfmt sheetId="1" xfDxf="1" sqref="A28:XFD28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A28" start="0" length="0">
      <dxf>
        <font>
          <b/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8" start="0" length="0">
      <dxf>
        <font>
          <b/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b/>
          <sz val="16"/>
          <color theme="1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b/>
          <sz val="16"/>
          <color rgb="FFFF0000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" start="0" length="0">
      <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8" start="0" length="0">
      <dxf>
        <font>
          <b/>
          <sz val="14"/>
          <name val="Times New Roman"/>
          <scheme val="none"/>
        </font>
        <numFmt numFmtId="168" formatCode="0.00000"/>
      </dxf>
    </rfmt>
    <rfmt sheetId="1" sqref="M28" start="0" length="0">
      <dxf>
        <numFmt numFmtId="168" formatCode="0.00000"/>
      </dxf>
    </rfmt>
  </rr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0536" sId="1">
    <oc r="F28">
      <f>814297.9024-F27</f>
    </oc>
    <nc r="F28"/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20197" sId="1" numFmtId="4">
    <oc r="C24">
      <v>605382.30240000004</v>
    </oc>
    <nc r="C24">
      <v>626256.90240000002</v>
    </nc>
  </rcc>
  <rrc rId="20198" sId="1" ref="A28:XFD28" action="deleteRow">
    <undo index="2" exp="area" ref3D="1" dr="$A$44:$XFD$46" dn="Z_B30CE22D_C12F_4E12_8BB9_3AAE0A6991CC_.wvu.Rows" sId="1"/>
    <undo index="4" exp="area" ref3D="1" dr="$A$83:$XFD$85" dn="Z_B31C8DB7_3E78_4144_A6B5_8DE36DE63F0E_.wvu.Rows" sId="1"/>
    <undo index="2" exp="area" ref3D="1" dr="$A$44:$XFD$46" dn="Z_B31C8DB7_3E78_4144_A6B5_8DE36DE63F0E_.wvu.Rows" sId="1"/>
    <undo index="2" exp="area" ref3D="1" dr="$A$44:$XFD$46" dn="Z_A54C432C_6C68_4B53_A75C_446EB3A61B2B_.wvu.Rows" sId="1"/>
    <undo index="2" exp="area" ref3D="1" dr="$A$44:$XFD$46" dn="Z_61528DAC_5C4C_48F4_ADE2_8A724B05A086_.wvu.Rows" sId="1"/>
    <undo index="4" exp="area" ref3D="1" dr="$A$83:$XFD$85" dn="Z_5BFCA170_DEAE_4D2C_98A0_1E68B427AC01_.wvu.Rows" sId="1"/>
    <undo index="2" exp="area" ref3D="1" dr="$A$44:$XFD$46" dn="Z_5BFCA170_DEAE_4D2C_98A0_1E68B427AC01_.wvu.Rows" sId="1"/>
    <undo index="2" exp="area" ref3D="1" dr="$A$44:$XFD$46" dn="Z_42584DC0_1D41_4C93_9B38_C388E7B8DAC4_.wvu.Rows" sId="1"/>
    <undo index="4" exp="area" ref3D="1" dr="$A$83:$XFD$85" dn="Z_3DCB9AAA_F09C_4EA6_B992_F93E466D374A_.wvu.Rows" sId="1"/>
    <undo index="2" exp="area" ref3D="1" dr="$A$44:$XFD$46" dn="Z_3DCB9AAA_F09C_4EA6_B992_F93E466D374A_.wvu.Rows" sId="1"/>
    <undo index="4" exp="area" ref3D="1" dr="$A$83:$XFD$85" dn="Z_1A52382B_3765_4E8C_903F_6B8919B7242E_.wvu.Rows" sId="1"/>
    <undo index="2" exp="area" ref3D="1" dr="$A$44:$XFD$46" dn="Z_1A52382B_3765_4E8C_903F_6B8919B7242E_.wvu.Rows" sId="1"/>
    <undo index="2" exp="area" ref3D="1" dr="$A$44:$XFD$46" dn="Z_1718F1EE_9F48_4DBE_9531_3B70F9C4A5DD_.wvu.Rows" sId="1"/>
    <rfmt sheetId="1" xfDxf="1" sqref="A28:XFD28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A28" start="0" length="0">
      <dxf>
        <font>
          <b/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8" start="0" length="0">
      <dxf>
        <font>
          <b/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28">
        <v>26585.53701</v>
      </nc>
      <n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8" start="0" length="0">
      <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font>
          <b/>
          <sz val="16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" start="0" length="0">
      <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8" start="0" length="0">
      <dxf>
        <font>
          <b/>
          <sz val="14"/>
          <name val="Times New Roman"/>
          <scheme val="none"/>
        </font>
        <numFmt numFmtId="168" formatCode="0.00000"/>
      </dxf>
    </rfmt>
    <rfmt sheetId="1" sqref="M28" start="0" length="0">
      <dxf>
        <numFmt numFmtId="168" formatCode="0.00000"/>
      </dxf>
    </rfmt>
  </rrc>
  <rcc rId="20199" sId="1" numFmtId="4">
    <oc r="D32">
      <v>263.64665000000002</v>
    </oc>
    <nc r="D32">
      <v>5181.33439</v>
    </nc>
  </rcc>
  <rcc rId="20200" sId="1" numFmtId="4">
    <oc r="C33">
      <v>26799.2464</v>
    </oc>
    <nc r="C33">
      <v>29426.946400000001</v>
    </nc>
  </rcc>
  <rcc rId="20201" sId="1" numFmtId="4">
    <oc r="D33">
      <v>148.09558999999999</v>
    </oc>
    <nc r="D33">
      <v>905.01719000000003</v>
    </nc>
  </rcc>
  <rcc rId="20202" sId="1" numFmtId="4">
    <oc r="C36">
      <v>70514.679000000004</v>
    </oc>
    <nc r="C36">
      <v>70651.679000000004</v>
    </nc>
  </rcc>
  <rcc rId="20203" sId="1" numFmtId="4">
    <oc r="D36">
      <v>1906.91292</v>
    </oc>
    <nc r="D36">
      <v>5316.3747800000001</v>
    </nc>
  </rcc>
  <rcc rId="20204" sId="1" numFmtId="4">
    <oc r="D37">
      <v>104.44499999999999</v>
    </oc>
    <nc r="D37">
      <v>839.43123000000003</v>
    </nc>
  </rcc>
  <rcc rId="20205" sId="1" numFmtId="4">
    <oc r="C38">
      <v>37753.224000000002</v>
    </oc>
    <nc r="C38">
      <v>37783.224000000002</v>
    </nc>
  </rcc>
  <rcc rId="20206" sId="1" numFmtId="4">
    <oc r="D38">
      <v>370.17500000000001</v>
    </oc>
    <nc r="D38">
      <v>1066.2871</v>
    </nc>
  </rcc>
  <rfmt sheetId="1" sqref="C28" start="0" length="2147483647">
    <dxf>
      <font>
        <color rgb="FFFF0000"/>
      </font>
    </dxf>
  </rfmt>
  <rcc rId="20207" sId="1" numFmtId="4">
    <oc r="C32">
      <v>78315.69515</v>
    </oc>
    <nc r="C32">
      <v>96562.595149999994</v>
    </nc>
  </rcc>
  <rfmt sheetId="1" sqref="C28" start="0" length="2147483647">
    <dxf>
      <font>
        <color auto="1"/>
      </font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1.xml><?xml version="1.0" encoding="utf-8"?>
<revisions xmlns="http://schemas.openxmlformats.org/spreadsheetml/2006/main" xmlns:r="http://schemas.openxmlformats.org/officeDocument/2006/relationships">
  <rcc rId="17966" sId="17">
    <oc r="G52">
      <f>888.04888-D52</f>
    </oc>
    <nc r="G52"/>
  </rcc>
  <rcc rId="17967" sId="18">
    <oc r="A1" t="inlineStr">
      <is>
        <t xml:space="preserve">                     Анализ исполнения бюджета Ярабайкасинского сельского поселения на 01.02.2020 г.</t>
      </is>
    </oc>
    <nc r="A1" t="inlineStr">
      <is>
        <t xml:space="preserve">                     Анализ исполнения бюджета Ярабайкасинского сельского поселения на 01.03.2020 г.</t>
      </is>
    </nc>
  </rcc>
  <rcc rId="17968" sId="18">
    <oc r="D3" t="inlineStr">
      <is>
        <t>исполнен на 01.02.2020 г.</t>
      </is>
    </oc>
    <nc r="D3" t="inlineStr">
      <is>
        <t>исполнен на 01.03.2020 г.</t>
      </is>
    </nc>
  </rcc>
  <rcc rId="17969" sId="18">
    <oc r="D55" t="inlineStr">
      <is>
        <t>исполнено на 01.02.2020 г.</t>
      </is>
    </oc>
    <nc r="D55" t="inlineStr">
      <is>
        <t>исполнено на 01.03.2020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19887" sId="4" numFmtId="34">
    <oc r="C41">
      <v>386.53</v>
    </oc>
    <nc r="C41">
      <f>386.53+365.4</f>
    </nc>
  </rcc>
  <rcc rId="19888" sId="5" numFmtId="4">
    <oc r="C44">
      <v>2037.6</v>
    </oc>
    <nc r="C44">
      <f>2037.6+918.9</f>
    </nc>
  </rcc>
  <rcc rId="19889" sId="6" numFmtId="4">
    <oc r="C45">
      <v>1097.19</v>
    </oc>
    <nc r="C45">
      <f>1097.19+912.3</f>
    </nc>
  </rcc>
  <rcc rId="19890" sId="7" numFmtId="34">
    <oc r="C43">
      <v>1250.8800000000001</v>
    </oc>
    <nc r="C43">
      <f>1250.88+888.2</f>
    </nc>
  </rcc>
  <rcc rId="19891" sId="8" numFmtId="4">
    <oc r="C43">
      <v>9320.3703999999998</v>
    </oc>
    <nc r="C43">
      <f>9320.3704+379.8</f>
    </nc>
  </rcc>
  <rcc rId="19892" sId="9" numFmtId="4">
    <oc r="C43">
      <v>1124.1400000000001</v>
    </oc>
    <nc r="C43">
      <f>1124.14+2999</f>
    </nc>
  </rcc>
  <rcc rId="19893" sId="10" numFmtId="4">
    <oc r="C43">
      <v>831.26499999999999</v>
    </oc>
    <nc r="C43">
      <f>831.265+1663.1</f>
    </nc>
  </rcc>
  <rcc rId="19894" sId="11" numFmtId="4">
    <oc r="C43">
      <v>1072.838</v>
    </oc>
    <nc r="C43">
      <f>1072.838+2774.7</f>
    </nc>
  </rcc>
  <rcc rId="19895" sId="12" numFmtId="4">
    <oc r="C44">
      <v>1350.4110000000001</v>
    </oc>
    <nc r="C44">
      <f>1350.411+1908.1</f>
    </nc>
  </rcc>
  <rcc rId="19896" sId="13" numFmtId="4">
    <oc r="C42">
      <v>499.47</v>
    </oc>
    <nc r="C42">
      <f>499.47+1522.5</f>
    </nc>
  </rcc>
  <rcc rId="19897" sId="14" numFmtId="4">
    <oc r="C44">
      <v>825.37699999999995</v>
    </oc>
    <nc r="C44">
      <f>825.377+1346.1</f>
    </nc>
  </rcc>
  <rcc rId="19898" sId="15" numFmtId="4">
    <oc r="C44">
      <v>1078.827</v>
    </oc>
    <nc r="C44">
      <f>1078.827+1752</f>
    </nc>
  </rcc>
  <rcc rId="19899" sId="16" numFmtId="4">
    <oc r="C43">
      <v>861.44</v>
    </oc>
    <nc r="C43">
      <f>861.44+185.9</f>
    </nc>
  </rcc>
  <rcc rId="19900" sId="17" numFmtId="4">
    <oc r="C42">
      <v>834.51</v>
    </oc>
    <nc r="C42">
      <f>834.51+1131.4</f>
    </nc>
  </rcc>
  <rcc rId="19901" sId="18" numFmtId="4">
    <oc r="C44">
      <v>1320</v>
    </oc>
    <nc r="C44">
      <f>1320+1053.5</f>
    </nc>
  </rcc>
  <rcc rId="19902" sId="19" numFmtId="4">
    <oc r="C41">
      <v>1145.971</v>
    </oc>
    <nc r="C41">
      <f>1145.971+1073.7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c rId="18632" sId="19" numFmtId="4">
    <nc r="C46">
      <v>0</v>
    </nc>
  </rcc>
  <rcc rId="18633" sId="19" numFmtId="4">
    <nc r="D46">
      <v>0</v>
    </nc>
  </rcc>
  <rcc rId="18634" sId="19">
    <nc r="E46">
      <f>SUM(D46/C46*100)</f>
    </nc>
  </rcc>
  <rfmt sheetId="19" sqref="C46:D46" start="0" length="2147483647">
    <dxf>
      <font>
        <b val="0"/>
      </font>
    </dxf>
  </rfmt>
  <rcc rId="18635" sId="19" numFmtId="4">
    <nc r="C33">
      <v>0</v>
    </nc>
  </rcc>
  <rcc rId="18636" sId="19" numFmtId="4">
    <oc r="D32">
      <v>0</v>
    </oc>
    <nc r="D32">
      <v>4.42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6823" sId="1" numFmtId="4">
    <oc r="C24">
      <v>699404.64723</v>
    </oc>
    <nc r="C24">
      <v>605382.30240000004</v>
    </nc>
  </rcc>
  <rcc rId="16824" sId="1" numFmtId="4">
    <oc r="D24">
      <v>693869.81282999995</v>
    </oc>
    <nc r="D24">
      <v>30181.744999999999</v>
    </nc>
  </rcc>
  <rcc rId="16825" sId="1" numFmtId="4">
    <oc r="D25">
      <v>4965.6437599999999</v>
    </oc>
    <nc r="D25">
      <v>0</v>
    </nc>
  </rcc>
  <rcc rId="16826" sId="1" numFmtId="4">
    <oc r="C32">
      <v>215317.92227000001</v>
    </oc>
    <nc r="C32">
      <v>78315.69515</v>
    </nc>
  </rcc>
  <rcc rId="16827" sId="1" numFmtId="4">
    <oc r="D32">
      <v>209280.94373999999</v>
    </oc>
    <nc r="D32">
      <v>263.64665000000002</v>
    </nc>
  </rcc>
  <rcc rId="16828" sId="1" numFmtId="4">
    <oc r="C33">
      <v>69939.477180000002</v>
    </oc>
    <nc r="C33">
      <v>26799.2464</v>
    </nc>
  </rcc>
  <rcc rId="16829" sId="1" numFmtId="4">
    <oc r="D33">
      <v>31129.55949</v>
    </oc>
    <nc r="D33">
      <v>148.09558999999999</v>
    </nc>
  </rcc>
  <rcc rId="16830" sId="1" numFmtId="4">
    <oc r="C36">
      <v>65640.255810000002</v>
    </oc>
    <nc r="C36">
      <v>70514.679000000004</v>
    </nc>
  </rcc>
  <rcc rId="16831" sId="1" numFmtId="4">
    <oc r="D36">
      <v>63961.919929999996</v>
    </oc>
    <nc r="D36">
      <v>1906.91292</v>
    </nc>
  </rcc>
  <rcc rId="16832" sId="1" numFmtId="4">
    <oc r="C37">
      <v>42582.780019999998</v>
    </oc>
    <nc r="C37">
      <v>32246.240000000002</v>
    </nc>
  </rcc>
  <rcc rId="16833" sId="1" numFmtId="4">
    <oc r="D37">
      <v>42273.58698</v>
    </oc>
    <nc r="D37">
      <v>104.44499999999999</v>
    </nc>
  </rcc>
  <rcc rId="16834" sId="1" numFmtId="4">
    <oc r="C38">
      <v>7261.3781399999998</v>
    </oc>
    <nc r="C38">
      <v>37753.224000000002</v>
    </nc>
  </rcc>
  <rcc rId="16835" sId="1" numFmtId="4">
    <oc r="D38">
      <v>7239.6789600000002</v>
    </oc>
    <nc r="D38">
      <v>370.17500000000001</v>
    </nc>
  </rcc>
  <rdn rId="0" localSheetId="3" customView="1" name="Z_61528DAC_5C4C_48F4_ADE2_8A724B05A086_.wvu.Rows" hidden="1" oldHidden="1">
    <oldFormula>район!$18:$18,район!$28:$31,район!$36:$36,район!$39:$39,район!$51:$52,район!$56:$56,район!#REF!,район!#REF!,район!$87:$87,район!$94:$94,район!$122:$124,район!$127:$128</oldFormula>
  </rdn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16042" sId="18" numFmtId="34">
    <oc r="C59">
      <v>1514.3689999999999</v>
    </oc>
    <nc r="C59">
      <v>1526.1</v>
    </nc>
  </rcc>
  <rcc rId="16043" sId="18" numFmtId="34">
    <oc r="D59">
      <v>1514.3670199999999</v>
    </oc>
    <nc r="D59">
      <v>80.442170000000004</v>
    </nc>
  </rcc>
  <rcc rId="16044" sId="18" numFmtId="34">
    <oc r="C62">
      <v>20.13</v>
    </oc>
    <nc r="C62">
      <v>39</v>
    </nc>
  </rcc>
  <rcc rId="16045" sId="18" numFmtId="34">
    <oc r="D62">
      <v>20.13</v>
    </oc>
    <nc r="D62">
      <v>0</v>
    </nc>
  </rcc>
  <rcc rId="16046" sId="18" numFmtId="34">
    <oc r="C63">
      <v>1</v>
    </oc>
    <nc r="C63">
      <v>5</v>
    </nc>
  </rcc>
  <rcc rId="16047" sId="18" numFmtId="34">
    <oc r="C64">
      <v>11.9055</v>
    </oc>
    <nc r="C64">
      <v>4.1020000000000003</v>
    </nc>
  </rcc>
  <rcc rId="16048" sId="18" numFmtId="34">
    <oc r="D64">
      <v>11.9055</v>
    </oc>
    <nc r="D64">
      <v>0</v>
    </nc>
  </rcc>
  <rcc rId="16049" sId="18" numFmtId="34">
    <oc r="C66">
      <v>179.892</v>
    </oc>
    <nc r="C66">
      <v>179.20699999999999</v>
    </nc>
  </rcc>
  <rcc rId="16050" sId="18" numFmtId="34">
    <oc r="D66">
      <v>179.892</v>
    </oc>
    <nc r="D66">
      <v>4.8</v>
    </nc>
  </rcc>
  <rcc rId="16051" sId="18" numFmtId="34">
    <oc r="C70">
      <v>0</v>
    </oc>
    <nc r="C70">
      <v>2</v>
    </nc>
  </rcc>
  <rcc rId="16052" sId="18" numFmtId="34">
    <oc r="C71">
      <v>3.1749999999999998</v>
    </oc>
    <nc r="C71">
      <v>8</v>
    </nc>
  </rcc>
  <rcc rId="16053" sId="18" numFmtId="34">
    <oc r="D71">
      <v>3.1749999999999998</v>
    </oc>
    <nc r="D71">
      <v>1</v>
    </nc>
  </rcc>
  <rcc rId="16054" sId="18" numFmtId="34">
    <oc r="D72">
      <v>2</v>
    </oc>
    <nc r="D72">
      <v>0</v>
    </nc>
  </rcc>
  <rcc rId="16055" sId="18" numFmtId="34">
    <oc r="C74">
      <v>5.3620000000000001</v>
    </oc>
    <nc r="C74">
      <v>10.021000000000001</v>
    </nc>
  </rcc>
  <rcc rId="16056" sId="18" numFmtId="34">
    <oc r="D74">
      <v>5.3620000000000001</v>
    </oc>
    <nc r="D74">
      <v>0</v>
    </nc>
  </rcc>
  <rcc rId="16057" sId="18" numFmtId="34">
    <oc r="C75">
      <v>205.14077</v>
    </oc>
    <nc r="C75">
      <v>224</v>
    </nc>
  </rcc>
  <rcc rId="16058" sId="18" numFmtId="34">
    <oc r="D75">
      <v>205.14077</v>
    </oc>
    <nc r="D75"/>
  </rcc>
  <rcc rId="16059" sId="18" numFmtId="34">
    <oc r="C76">
      <v>5005.7506599999997</v>
    </oc>
    <nc r="C76">
      <v>2176.46</v>
    </nc>
  </rcc>
  <rcc rId="16060" sId="18" numFmtId="34">
    <oc r="D76">
      <v>2956.9152199999999</v>
    </oc>
    <nc r="D76">
      <v>0</v>
    </nc>
  </rcc>
  <rcc rId="16061" sId="18" numFmtId="34">
    <oc r="C77">
      <v>114</v>
    </oc>
    <nc r="C77">
      <v>30</v>
    </nc>
  </rcc>
  <rcc rId="16062" sId="18" numFmtId="34">
    <oc r="D77">
      <v>61.2209</v>
    </oc>
    <nc r="D77">
      <v>0</v>
    </nc>
  </rcc>
  <rcc rId="16063" sId="18" numFmtId="34">
    <oc r="C81">
      <v>730.34400000000005</v>
    </oc>
    <nc r="C81">
      <v>415.75700000000001</v>
    </nc>
  </rcc>
  <rcc rId="16064" sId="18" numFmtId="34">
    <oc r="D81">
      <v>723.41616999999997</v>
    </oc>
    <nc r="D81">
      <v>11.85478</v>
    </nc>
  </rcc>
  <rcc rId="16065" sId="18" numFmtId="34">
    <oc r="C83">
      <v>6871.9765699999998</v>
    </oc>
    <nc r="C83">
      <v>1809.4</v>
    </nc>
  </rcc>
  <rcc rId="16066" sId="18" numFmtId="34">
    <oc r="D83">
      <v>6562.0450199999996</v>
    </oc>
    <nc r="D83">
      <v>149.191</v>
    </nc>
  </rcc>
  <rcc rId="16067" sId="18" numFmtId="34">
    <oc r="C90">
      <v>33.219000000000001</v>
    </oc>
    <nc r="C90">
      <v>22</v>
    </nc>
  </rcc>
  <rcc rId="16068" sId="18" numFmtId="34">
    <oc r="D90">
      <v>33.219000000000001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8883" sId="15">
    <oc r="D54" t="inlineStr">
      <is>
        <t>исполнено на 01.02.2020 г.</t>
      </is>
    </oc>
    <nc r="D54" t="inlineStr">
      <is>
        <t>исполнено на 01.03.2020 г.</t>
      </is>
    </nc>
  </rcc>
  <rcc rId="18884" sId="15">
    <oc r="D3" t="inlineStr">
      <is>
        <t>исполнен на 01.02.2020 г.</t>
      </is>
    </oc>
    <nc r="D3" t="inlineStr">
      <is>
        <t>исполнен на 01.03.2020 г.</t>
      </is>
    </nc>
  </rcc>
  <rcc rId="18885" sId="15">
    <oc r="A1" t="inlineStr">
      <is>
        <t xml:space="preserve">                     Анализ исполнения бюджета Шатьмапосинского сельского поселения на 01.02.2020 г.</t>
      </is>
    </oc>
    <nc r="A1" t="inlineStr">
      <is>
        <t xml:space="preserve">                     Анализ исполнения бюджета Шатьмапосинского сельского поселения на 01.03.2020 г.</t>
      </is>
    </nc>
  </rcc>
  <rcc rId="18886" sId="16">
    <oc r="D53" t="inlineStr">
      <is>
        <t>исполнено на 01.02.2020 г.</t>
      </is>
    </oc>
    <nc r="D53" t="inlineStr">
      <is>
        <t>исполнено на 01.03.2020 г.</t>
      </is>
    </nc>
  </rcc>
  <rcc rId="18887" sId="16">
    <oc r="D3" t="inlineStr">
      <is>
        <t>исполнен на 01.02.2020 г.</t>
      </is>
    </oc>
    <nc r="D3" t="inlineStr">
      <is>
        <t>исполнен на 01.03.2020 г.</t>
      </is>
    </nc>
  </rcc>
  <rcc rId="18888" sId="16">
    <oc r="A1" t="inlineStr">
      <is>
        <t xml:space="preserve">                     Анализ исполнения бюджета Юнгинского сельского поселения на 01.02.2020 г.</t>
      </is>
    </oc>
    <nc r="A1" t="inlineStr">
      <is>
        <t xml:space="preserve">                     Анализ исполнения бюджета Юнгинского сельского поселения на 01.03.2020 г.</t>
      </is>
    </nc>
  </rcc>
  <rcc rId="18889" sId="15" numFmtId="4">
    <oc r="D8">
      <v>14.24047</v>
    </oc>
    <nc r="D8">
      <v>26.353639999999999</v>
    </nc>
  </rcc>
  <rcc rId="18890" sId="15" numFmtId="4">
    <oc r="D9">
      <v>9.6890000000000004E-2</v>
    </oc>
    <nc r="D9">
      <v>0.16514999999999999</v>
    </nc>
  </rcc>
  <rcc rId="18891" sId="15" numFmtId="4">
    <oc r="D10">
      <v>19.540109999999999</v>
    </oc>
    <nc r="D10">
      <v>37.723529999999997</v>
    </nc>
  </rcc>
  <rcc rId="18892" sId="15" numFmtId="4">
    <oc r="D11">
      <v>-2.6179100000000002</v>
    </oc>
    <nc r="D11">
      <v>-5.1449499999999997</v>
    </nc>
  </rcc>
  <rcc rId="18893" sId="15" numFmtId="4">
    <oc r="D15">
      <v>3.8854000000000002</v>
    </oc>
    <nc r="D15">
      <v>3.8869699999999998</v>
    </nc>
  </rcc>
  <rcc rId="18894" sId="15" numFmtId="4">
    <oc r="D16">
      <v>6.5442</v>
    </oc>
    <nc r="D16">
      <v>17.75665</v>
    </nc>
  </rcc>
  <rcc rId="18895" sId="15" numFmtId="4">
    <oc r="D18">
      <v>0</v>
    </oc>
    <nc r="D18">
      <v>0.3</v>
    </nc>
  </rcc>
  <rcc rId="18896" sId="15" numFmtId="4">
    <oc r="D28">
      <v>2.1676000000000002</v>
    </oc>
    <nc r="D28">
      <v>4.3352000000000004</v>
    </nc>
  </rcc>
  <rcc rId="18897" sId="15" numFmtId="4">
    <oc r="D42">
      <v>105.265</v>
    </oc>
    <nc r="D42">
      <v>210.53</v>
    </nc>
  </rcc>
  <rcc rId="18898" sId="15" numFmtId="4">
    <oc r="D45">
      <v>7.4667000000000003</v>
    </oc>
    <nc r="D45">
      <v>14.933400000000001</v>
    </nc>
  </rcc>
  <rcc rId="18899" sId="15" numFmtId="4">
    <oc r="D6">
      <v>0.94494</v>
    </oc>
    <nc r="D6">
      <v>4.8130199999999999</v>
    </nc>
  </rcc>
  <rcc rId="18900" sId="15" numFmtId="34">
    <oc r="D58">
      <v>26.741230000000002</v>
    </oc>
    <nc r="D58">
      <v>108.07249</v>
    </nc>
  </rcc>
  <rcc rId="18901" sId="15" numFmtId="34">
    <oc r="D65">
      <v>2</v>
    </oc>
    <nc r="D65">
      <v>9.8989999999999991</v>
    </nc>
  </rcc>
  <rcc rId="18902" sId="15" numFmtId="34">
    <oc r="C75">
      <v>1454.9570000000001</v>
    </oc>
    <nc r="C75">
      <v>3206.9569999999999</v>
    </nc>
  </rcc>
  <rcc rId="18903" sId="15" numFmtId="34">
    <oc r="D75">
      <v>0</v>
    </oc>
    <nc r="D75">
      <v>12.9689</v>
    </nc>
  </rcc>
  <rcc rId="18904" sId="15" numFmtId="34">
    <oc r="D80">
      <v>7.8357900000000003</v>
    </oc>
    <nc r="D80">
      <v>20.781110000000002</v>
    </nc>
  </rcc>
  <rcc rId="18905" sId="15" numFmtId="34">
    <oc r="D82">
      <v>70</v>
    </oc>
    <nc r="D82">
      <v>140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16297" sId="2" numFmtId="4">
    <oc r="F32">
      <v>40245.383569999998</v>
    </oc>
    <nc r="F32">
      <v>40911</v>
    </nc>
  </rcc>
  <rcc rId="16298" sId="2" numFmtId="4">
    <oc r="G32">
      <v>41785.954980000002</v>
    </oc>
    <nc r="G32">
      <v>1951.83959</v>
    </nc>
  </rcc>
  <rcc rId="16299" sId="2" numFmtId="4">
    <oc r="I32">
      <v>5493.7</v>
    </oc>
    <nc r="I32">
      <v>5728.5</v>
    </nc>
  </rcc>
  <rcc rId="16300" sId="2" numFmtId="4">
    <oc r="J32">
      <v>5533.6949500000001</v>
    </oc>
    <nc r="J32">
      <v>318.45472999999998</v>
    </nc>
  </rcc>
  <rcc rId="16301" sId="2" numFmtId="4">
    <oc r="L32">
      <v>3048.8850000000002</v>
    </oc>
    <nc r="L32">
      <v>3471.43</v>
    </nc>
  </rcc>
  <rcc rId="16302" sId="2" numFmtId="4">
    <oc r="M32">
      <v>4518.4792699999998</v>
    </oc>
    <nc r="M32">
      <v>352.35536000000002</v>
    </nc>
  </rcc>
  <rcc rId="16303" sId="2" numFmtId="4">
    <oc r="O32">
      <v>32.633000000000003</v>
    </oc>
    <nc r="O32">
      <v>37.200000000000003</v>
    </nc>
  </rcc>
  <rcc rId="16304" sId="2" numFmtId="4">
    <oc r="P32">
      <v>33.211979999999997</v>
    </oc>
    <nc r="P32">
      <v>2.3975399999999998</v>
    </nc>
  </rcc>
  <rcc rId="16305" sId="2" numFmtId="4">
    <oc r="R32">
      <v>5092.3969999999999</v>
    </oc>
    <nc r="R32">
      <v>5798.07</v>
    </nc>
  </rcc>
  <rcc rId="16306" sId="2" numFmtId="4">
    <oc r="S32">
      <v>6036.7036500000004</v>
    </oc>
    <nc r="S32">
      <v>483.48590000000002</v>
    </nc>
  </rcc>
  <rcc rId="16307" sId="2" numFmtId="4">
    <oc r="V32">
      <v>-661.66719000000001</v>
    </oc>
    <nc r="V32">
      <v>-64.775540000000007</v>
    </nc>
  </rcc>
  <rcc rId="16308" sId="2" numFmtId="4">
    <oc r="X32">
      <v>591.20000000000005</v>
    </oc>
    <nc r="X32">
      <v>535</v>
    </nc>
  </rcc>
  <rcc rId="16309" sId="2" numFmtId="4">
    <oc r="Y32">
      <v>583.22735999999998</v>
    </oc>
    <nc r="Y32">
      <v>2.8584000000000001</v>
    </nc>
  </rcc>
  <rcc rId="16310" sId="2" numFmtId="4">
    <oc r="AA32">
      <v>4790</v>
    </oc>
    <nc r="AA32">
      <v>5373</v>
    </nc>
  </rcc>
  <rcc rId="16311" sId="2" numFmtId="4">
    <oc r="AB32">
      <v>4751.8027000000002</v>
    </oc>
    <nc r="AB32">
      <v>63.228380000000001</v>
    </nc>
  </rcc>
  <rcc rId="16312" sId="2" numFmtId="4">
    <oc r="AD32">
      <v>17399.37729</v>
    </oc>
    <nc r="AD32">
      <v>16870</v>
    </nc>
  </rcc>
  <rcc rId="16313" sId="2" numFmtId="4">
    <oc r="AE32">
      <v>16758.076590000001</v>
    </oc>
    <nc r="AE32">
      <v>533.96861000000001</v>
    </nc>
  </rcc>
  <rcc rId="16314" sId="2" numFmtId="4">
    <oc r="AG32">
      <v>150</v>
    </oc>
    <nc r="AG32">
      <v>116</v>
    </nc>
  </rcc>
  <rcc rId="16315" sId="2" numFmtId="4">
    <oc r="AH32">
      <v>126.675</v>
    </oc>
    <nc r="AH32">
      <v>5.25</v>
    </nc>
  </rcc>
  <rcc rId="16316" sId="2" numFmtId="4">
    <oc r="AN19">
      <f>Мос!D27</f>
    </oc>
    <nc r="AN19">
      <v>0</v>
    </nc>
  </rcc>
  <rcc rId="16317" sId="2" numFmtId="4">
    <oc r="AP32">
      <v>1996.9</v>
    </oc>
    <nc r="AP32">
      <v>2591</v>
    </nc>
  </rcc>
  <rcc rId="16318" sId="2" numFmtId="4">
    <oc r="AQ32">
      <v>2027.9463499999999</v>
    </oc>
    <nc r="AQ32">
      <v>195.67151000000001</v>
    </nc>
  </rcc>
  <rcc rId="16319" sId="2" numFmtId="4">
    <oc r="AS32">
      <v>345.7</v>
    </oc>
    <nc r="AS32">
      <v>390.8</v>
    </nc>
  </rcc>
  <rcc rId="16320" sId="2" numFmtId="4">
    <oc r="AT32">
      <v>556.80574999999999</v>
    </oc>
    <nc r="AT32">
      <v>18.797180000000001</v>
    </nc>
  </rcc>
  <rcc rId="16321" sId="2" numFmtId="4">
    <oc r="AY32">
      <v>1004</v>
    </oc>
    <nc r="AY32">
      <v>0</v>
    </nc>
  </rcc>
  <rcc rId="16322" sId="2" numFmtId="4">
    <oc r="AZ32">
      <v>1158.4407200000001</v>
    </oc>
    <nc r="AZ32">
      <v>42.127519999999997</v>
    </nc>
  </rcc>
  <rcc rId="16323" sId="2" numFmtId="4">
    <oc r="BE32">
      <v>16.591280000000001</v>
    </oc>
    <nc r="BE32">
      <v>0</v>
    </nc>
  </rcc>
  <rcc rId="16324" sId="2" numFmtId="4">
    <oc r="BF32">
      <v>30.501000000000001</v>
    </oc>
    <nc r="BF32">
      <v>0</v>
    </nc>
  </rcc>
  <rcc rId="16325" sId="2" numFmtId="4">
    <oc r="BN32">
      <v>284</v>
    </oc>
    <nc r="BN32">
      <v>0</v>
    </nc>
  </rcc>
  <rcc rId="16326" sId="2" numFmtId="4">
    <oc r="BO32">
      <v>332.39729</v>
    </oc>
    <nc r="BO32">
      <v>2.3295599999999999</v>
    </nc>
  </rcc>
  <rcc rId="16327" sId="2" numFmtId="4">
    <oc r="BR32">
      <v>-0.34044000000000002</v>
    </oc>
    <nc r="BR32">
      <v>-4.3095600000000003</v>
    </nc>
  </rcc>
  <rcc rId="16328" sId="2" numFmtId="4">
    <oc r="BZ32">
      <v>142446.16461000001</v>
    </oc>
    <nc r="BZ32">
      <v>61926.50301</v>
    </nc>
  </rcc>
  <rcc rId="16329" sId="2" numFmtId="4">
    <oc r="CA32">
      <v>105270.31170000001</v>
    </oc>
    <nc r="CA32">
      <v>2638.1585</v>
    </nc>
  </rcc>
  <rcc rId="16330" sId="2" numFmtId="4">
    <oc r="CD32">
      <v>28294</v>
    </oc>
    <nc r="CD32">
      <v>2458.9585000000002</v>
    </nc>
  </rcc>
  <rcc rId="16331" sId="2" numFmtId="4">
    <oc r="CC32">
      <v>28294</v>
    </oc>
    <nc r="CC32">
      <v>29508</v>
    </nc>
  </rcc>
  <rcc rId="16332" sId="2" numFmtId="4">
    <oc r="CF32">
      <v>10023.308000000001</v>
    </oc>
    <nc r="CF32">
      <v>4700</v>
    </nc>
  </rcc>
  <rcc rId="16333" sId="2" numFmtId="4">
    <oc r="CG32">
      <v>10023.308000000001</v>
    </oc>
    <nc r="CG32">
      <v>0</v>
    </nc>
  </rcc>
  <rcc rId="16334" sId="2" numFmtId="4">
    <oc r="CI32">
      <v>82865.409140000003</v>
    </oc>
    <nc r="CI32">
      <v>25036.8194</v>
    </nc>
  </rcc>
  <rcc rId="16335" sId="2" numFmtId="4">
    <oc r="CJ32">
      <v>44405.133119999999</v>
    </oc>
    <nc r="CJ32">
      <v>0</v>
    </nc>
  </rcc>
  <rcc rId="16336" sId="2" numFmtId="4">
    <oc r="CL32">
      <v>2201.1</v>
    </oc>
    <nc r="CL32">
      <v>2219.5</v>
    </nc>
  </rcc>
  <rcc rId="16337" sId="2" numFmtId="4">
    <oc r="CM32">
      <v>2201.1</v>
    </oc>
    <nc r="CM32">
      <v>179.2</v>
    </nc>
  </rcc>
  <rcc rId="16338" sId="2" numFmtId="4">
    <oc r="CO32">
      <v>15512.329390000001</v>
    </oc>
    <nc r="CO32">
      <v>0</v>
    </nc>
  </rcc>
  <rcc rId="16339" sId="2" numFmtId="4">
    <oc r="CP32">
      <v>15381.126819999999</v>
    </oc>
    <nc r="CP32">
      <v>0</v>
    </nc>
  </rcc>
  <rcc rId="16340" sId="2" numFmtId="4">
    <oc r="CR32">
      <v>3550.0180799999998</v>
    </oc>
    <nc r="CR32">
      <v>462.18360999999999</v>
    </nc>
  </rcc>
  <rcc rId="16341" sId="2" numFmtId="4">
    <oc r="CS32">
      <v>4965.6437599999999</v>
    </oc>
    <nc r="CS32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16224" sId="1">
    <oc r="C3" t="inlineStr">
      <is>
        <t>план на 2019 г.</t>
      </is>
    </oc>
    <nc r="C3" t="inlineStr">
      <is>
        <t>план на 2020 г.</t>
      </is>
    </nc>
  </rcc>
  <rcc rId="16225" sId="1">
    <oc r="D3" t="inlineStr">
      <is>
        <t>исполнено на 01.01.2020 г.</t>
      </is>
    </oc>
    <nc r="D3" t="inlineStr">
      <is>
        <t>исполнено на 01.02.2020 г.</t>
      </is>
    </nc>
  </rcc>
  <rcc rId="16226" sId="1">
    <oc r="F3" t="inlineStr">
      <is>
        <t>план на 2019 г.</t>
      </is>
    </oc>
    <nc r="F3" t="inlineStr">
      <is>
        <t>план на 2020 г.</t>
      </is>
    </nc>
  </rcc>
  <rcc rId="16227" sId="1">
    <oc r="G3" t="inlineStr">
      <is>
        <t>исполнено на 01.01.2020 г.</t>
      </is>
    </oc>
    <nc r="G3" t="inlineStr">
      <is>
        <t>исполнено на 01.02.2020 г.</t>
      </is>
    </nc>
  </rcc>
  <rcc rId="16228" sId="1">
    <oc r="I3" t="inlineStr">
      <is>
        <t>план на 2019 г.</t>
      </is>
    </oc>
    <nc r="I3" t="inlineStr">
      <is>
        <t>план на 2020 г.</t>
      </is>
    </nc>
  </rcc>
  <rcc rId="16229" sId="1">
    <oc r="J3" t="inlineStr">
      <is>
        <t>исполнено на 01.01.2020 г.</t>
      </is>
    </oc>
    <nc r="J3" t="inlineStr">
      <is>
        <t>исполнено на 01.02.2020 г.</t>
      </is>
    </nc>
  </rcc>
  <rcc rId="16230" sId="1">
    <oc r="A1" t="inlineStr">
      <is>
        <t>Анализ исполнения консолидированного бюджета Моргаушского районана 01.01.2020 г.</t>
      </is>
    </oc>
    <nc r="A1" t="inlineStr">
      <is>
        <t>Анализ исполнения консолидированного бюджета Моргаушского районана 01.02.2020 г.</t>
      </is>
    </nc>
  </rcc>
  <rcc rId="16231" sId="2">
    <oc r="B5" t="inlineStr">
      <is>
        <t>об исполнении бюджетов поселений  Моргаушского района  на 1 января 2020 г.</t>
      </is>
    </oc>
    <nc r="B5" t="inlineStr">
      <is>
        <t>об исполнении бюджетов поселений  Моргаушского района  на 1 февраля 2020 г.</t>
      </is>
    </nc>
  </rcc>
  <rcc rId="16232" sId="3">
    <oc r="C86" t="inlineStr">
      <is>
        <t>назначено на 2019 г.</t>
      </is>
    </oc>
    <nc r="C86" t="inlineStr">
      <is>
        <t>назначено на 2020 г.</t>
      </is>
    </nc>
  </rcc>
  <rcc rId="16233" sId="3">
    <oc r="D86" t="inlineStr">
      <is>
        <t xml:space="preserve">исполнено на 01.01.2020 г. </t>
      </is>
    </oc>
    <nc r="D86" t="inlineStr">
      <is>
        <t xml:space="preserve">исполнено на 01.02.2020 г. </t>
      </is>
    </nc>
  </rcc>
  <rcc rId="16234" sId="3">
    <oc r="C3" t="inlineStr">
      <is>
        <t>назначено на 2019 г.</t>
      </is>
    </oc>
    <nc r="C3" t="inlineStr">
      <is>
        <t>назначено на 2020 г.</t>
      </is>
    </nc>
  </rcc>
  <rcc rId="16235" sId="3">
    <oc r="D3" t="inlineStr">
      <is>
        <t>исполнено на 01.01.2020 г.</t>
      </is>
    </oc>
    <nc r="D3" t="inlineStr">
      <is>
        <t>исполнено на 01.02.2020 г.</t>
      </is>
    </nc>
  </rcc>
  <rcc rId="16236" sId="3">
    <oc r="A2" t="inlineStr">
      <is>
        <t xml:space="preserve">                                                        Моргаушского района на 01.01.2020 г. </t>
      </is>
    </oc>
    <nc r="A2" t="inlineStr">
      <is>
        <t xml:space="preserve">                                                        Моргаушского района на 01.02.2020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.xml><?xml version="1.0" encoding="utf-8"?>
<revisions xmlns="http://schemas.openxmlformats.org/spreadsheetml/2006/main" xmlns:r="http://schemas.openxmlformats.org/officeDocument/2006/relationships">
  <rcc rId="16099" sId="19">
    <oc r="A1" t="inlineStr">
      <is>
        <t xml:space="preserve">                     Анализ исполнения бюджета Ярославского сельского поселения на 01.01.2020 г.</t>
      </is>
    </oc>
    <nc r="A1" t="inlineStr">
      <is>
        <t xml:space="preserve">                     Анализ исполнения бюджета Ярославского сельского поселения на 01.02.2020 г.</t>
      </is>
    </nc>
  </rcc>
  <rcc rId="16100" sId="19">
    <oc r="C3" t="inlineStr">
      <is>
        <t>назначено на 2019 г.</t>
      </is>
    </oc>
    <nc r="C3" t="inlineStr">
      <is>
        <t>назначено на 2020 г.</t>
      </is>
    </nc>
  </rcc>
  <rcc rId="16101" sId="19">
    <oc r="D3" t="inlineStr">
      <is>
        <t>исполнен на 01.01.2020 г.</t>
      </is>
    </oc>
    <nc r="D3" t="inlineStr">
      <is>
        <t>исполнен на 01.02.2020 г.</t>
      </is>
    </nc>
  </rcc>
  <rcc rId="16102" sId="19">
    <oc r="C51" t="inlineStr">
      <is>
        <t>назначено на 2019 г.</t>
      </is>
    </oc>
    <nc r="C51" t="inlineStr">
      <is>
        <t>назначено на 2020 г.</t>
      </is>
    </nc>
  </rcc>
  <rcc rId="16103" sId="19">
    <oc r="D51" t="inlineStr">
      <is>
        <t>исполнено на 01.01.2020 г.</t>
      </is>
    </oc>
    <nc r="D51" t="inlineStr">
      <is>
        <t>исполнено на 01.02.2020 г.</t>
      </is>
    </nc>
  </rcc>
  <rcc rId="16104" sId="19" numFmtId="4">
    <oc r="C6">
      <v>109.68899999999999</v>
    </oc>
    <nc r="C6">
      <v>111</v>
    </nc>
  </rcc>
  <rcc rId="16105" sId="19" numFmtId="4">
    <oc r="D6">
      <v>113.28968</v>
    </oc>
    <nc r="D6">
      <v>5.0952900000000003</v>
    </nc>
  </rcc>
  <rcc rId="16106" sId="19" numFmtId="4">
    <oc r="C8">
      <v>157.55000000000001</v>
    </oc>
    <nc r="C8">
      <v>183.91</v>
    </nc>
  </rcc>
  <rcc rId="16107" sId="19" numFmtId="4">
    <oc r="D8">
      <v>233.48851999999999</v>
    </oc>
    <nc r="D8">
      <v>18.66656</v>
    </nc>
  </rcc>
  <rcc rId="16108" sId="19" numFmtId="4">
    <oc r="C9">
      <v>1.69</v>
    </oc>
    <nc r="C9">
      <v>1.97</v>
    </nc>
  </rcc>
  <rcc rId="16109" sId="19" numFmtId="4">
    <oc r="D9">
      <v>1.7161999999999999</v>
    </oc>
    <nc r="D9">
      <v>0.12701999999999999</v>
    </nc>
  </rcc>
  <rcc rId="16110" sId="19" numFmtId="4">
    <oc r="C10">
      <v>263.14</v>
    </oc>
    <nc r="C10">
      <v>307.16000000000003</v>
    </nc>
  </rcc>
  <rcc rId="16111" sId="19" numFmtId="4">
    <oc r="D10">
      <v>311.94144</v>
    </oc>
    <nc r="D10">
      <v>25.613409999999998</v>
    </nc>
  </rcc>
  <rcc rId="16112" sId="19" numFmtId="4">
    <oc r="D11">
      <v>-34.191079999999999</v>
    </oc>
    <nc r="D11">
      <v>-3.4316</v>
    </nc>
  </rcc>
  <rcc rId="16113" sId="19" numFmtId="4">
    <oc r="D13">
      <v>0.77749999999999997</v>
    </oc>
    <nc r="D13">
      <v>0</v>
    </nc>
  </rcc>
  <rcc rId="16114" sId="19" numFmtId="4">
    <oc r="C15">
      <v>228</v>
    </oc>
    <nc r="C15">
      <v>470</v>
    </nc>
  </rcc>
  <rcc rId="16115" sId="19" numFmtId="4">
    <oc r="D15">
      <v>272.13067000000001</v>
    </oc>
    <nc r="D15">
      <v>0.40275</v>
    </nc>
  </rcc>
  <rcc rId="16116" sId="19" numFmtId="4">
    <oc r="C16">
      <v>1028</v>
    </oc>
    <nc r="C16">
      <v>914</v>
    </nc>
  </rcc>
  <rcc rId="16117" sId="19" numFmtId="4">
    <oc r="D16">
      <v>921.55541000000005</v>
    </oc>
    <nc r="D16">
      <v>16.76437</v>
    </nc>
  </rcc>
  <rcc rId="16118" sId="19" numFmtId="4">
    <oc r="D18">
      <v>3.95</v>
    </oc>
    <nc r="D18">
      <v>1</v>
    </nc>
  </rcc>
  <rcc rId="16119" sId="19" numFmtId="4">
    <oc r="C27">
      <v>300</v>
    </oc>
    <nc r="C27">
      <v>230.6</v>
    </nc>
  </rcc>
  <rcc rId="16120" sId="19" numFmtId="4">
    <oc r="D27">
      <v>245.64313000000001</v>
    </oc>
    <nc r="D27">
      <v>12.44459</v>
    </nc>
  </rcc>
  <rcc rId="16121" sId="19" numFmtId="4">
    <oc r="C32">
      <v>5</v>
    </oc>
    <nc r="C32">
      <v>0</v>
    </nc>
  </rcc>
  <rcc rId="16122" sId="19" numFmtId="4">
    <oc r="D32">
      <v>26.343</v>
    </oc>
    <nc r="D32">
      <v>0</v>
    </nc>
  </rcc>
  <rcc rId="16123" sId="19" numFmtId="4">
    <oc r="C35">
      <v>5</v>
    </oc>
    <nc r="C35">
      <v>0</v>
    </nc>
  </rcc>
  <rcc rId="16124" sId="19" numFmtId="4">
    <oc r="D35">
      <v>5.5026700000000002</v>
    </oc>
    <nc r="D35">
      <v>0</v>
    </nc>
  </rcc>
  <rcc rId="16125" sId="19" numFmtId="4">
    <oc r="C40">
      <v>2260</v>
    </oc>
    <nc r="C40">
      <v>1220</v>
    </nc>
  </rcc>
  <rcc rId="16126" sId="19" numFmtId="4">
    <oc r="C39">
      <v>550.70000000000005</v>
    </oc>
    <nc r="C39">
      <v>730.1</v>
    </nc>
  </rcc>
  <rcc rId="16127" sId="19" numFmtId="4">
    <oc r="D39">
      <v>550.70000000000005</v>
    </oc>
    <nc r="D39">
      <v>60.841000000000001</v>
    </nc>
  </rcc>
  <rcc rId="16128" sId="19" numFmtId="4">
    <oc r="D40">
      <v>2260</v>
    </oc>
    <nc r="D40">
      <v>0</v>
    </nc>
  </rcc>
  <rcc rId="16129" sId="19" numFmtId="4">
    <oc r="C41">
      <v>1797.84664</v>
    </oc>
    <nc r="C41">
      <v>1145.971</v>
    </nc>
  </rcc>
  <rcc rId="16130" sId="19" numFmtId="4">
    <oc r="D41">
      <v>1797.808</v>
    </oc>
    <nc r="D41">
      <v>0</v>
    </nc>
  </rcc>
  <rcc rId="16131" sId="19" numFmtId="4">
    <oc r="C42">
      <v>93.018000000000001</v>
    </oc>
    <nc r="C42">
      <v>95.573999999999998</v>
    </nc>
  </rcc>
  <rcc rId="16132" sId="19" numFmtId="4">
    <oc r="D42">
      <v>93.018000000000001</v>
    </oc>
    <nc r="D42">
      <v>7.4667000000000003</v>
    </nc>
  </rcc>
  <rcc rId="16133" sId="19" numFmtId="4">
    <oc r="C44">
      <v>5437.8438200000001</v>
    </oc>
    <nc r="C44">
      <v>0</v>
    </nc>
  </rcc>
  <rcc rId="16134" sId="19" numFmtId="4">
    <oc r="D44">
      <v>5432.4480000000003</v>
    </oc>
    <nc r="D44">
      <v>0</v>
    </nc>
  </rcc>
  <rcc rId="16135" sId="19" numFmtId="4">
    <oc r="C45">
      <v>240.48367999999999</v>
    </oc>
    <nc r="C45">
      <v>0</v>
    </nc>
  </rcc>
  <rcc rId="16136" sId="19" numFmtId="4">
    <oc r="D45">
      <v>240.48367999999999</v>
    </oc>
    <nc r="D45">
      <v>0</v>
    </nc>
  </rcc>
  <rcc rId="16137" sId="19" numFmtId="4">
    <oc r="C33">
      <v>7.5912800000000002</v>
    </oc>
    <nc r="C33"/>
  </rcc>
  <rcc rId="16138" sId="19" numFmtId="4">
    <oc r="D30">
      <v>7.9796699999999996</v>
    </oc>
    <nc r="D30">
      <v>0</v>
    </nc>
  </rcc>
  <rcc rId="16139" sId="19" numFmtId="34">
    <oc r="C55">
      <v>1335.058</v>
    </oc>
    <nc r="C55">
      <v>1333.1</v>
    </nc>
  </rcc>
  <rcc rId="16140" sId="19" numFmtId="34">
    <oc r="D55">
      <v>1331.7880399999999</v>
    </oc>
    <nc r="D55">
      <v>29.6</v>
    </nc>
  </rcc>
  <rcc rId="16141" sId="19" numFmtId="34">
    <oc r="C58">
      <v>0</v>
    </oc>
    <nc r="C58">
      <v>24</v>
    </nc>
  </rcc>
  <rcc rId="16142" sId="19" numFmtId="34">
    <oc r="C60">
      <v>8.7880000000000003</v>
    </oc>
    <nc r="C60">
      <v>3.0230000000000001</v>
    </nc>
  </rcc>
  <rcc rId="16143" sId="19" numFmtId="34">
    <oc r="D60">
      <v>8.7874999999999996</v>
    </oc>
    <nc r="D60">
      <v>0</v>
    </nc>
  </rcc>
  <rcc rId="16144" sId="19" numFmtId="34">
    <oc r="C62">
      <v>89.944999999999993</v>
    </oc>
    <nc r="C62">
      <v>89.603999999999999</v>
    </nc>
  </rcc>
  <rcc rId="16145" sId="19" numFmtId="34">
    <oc r="D62">
      <v>89.944999999999993</v>
    </oc>
    <nc r="D62">
      <v>2.4</v>
    </nc>
  </rcc>
  <rcc rId="16146" sId="19" numFmtId="34">
    <oc r="C66">
      <v>0</v>
    </oc>
    <nc r="C66">
      <v>2</v>
    </nc>
  </rcc>
  <rcc rId="16147" sId="19" numFmtId="34">
    <oc r="C67">
      <v>12.635999999999999</v>
    </oc>
    <nc r="C67">
      <v>8</v>
    </nc>
  </rcc>
  <rcc rId="16148" sId="19" numFmtId="34">
    <oc r="D67">
      <v>12.635429999999999</v>
    </oc>
    <nc r="D67">
      <v>0</v>
    </nc>
  </rcc>
  <rcc rId="16149" sId="19" numFmtId="34">
    <oc r="D68">
      <v>2</v>
    </oc>
    <nc r="D68">
      <v>0</v>
    </nc>
  </rcc>
  <rcc rId="16150" sId="19" numFmtId="34">
    <oc r="C70">
      <v>8.0429999999999993</v>
    </oc>
    <nc r="C70">
      <v>14.316000000000001</v>
    </nc>
  </rcc>
  <rcc rId="16151" sId="19" numFmtId="34">
    <oc r="D70">
      <v>8.0429999999999993</v>
    </oc>
    <nc r="D70">
      <v>0</v>
    </nc>
  </rcc>
  <rcc rId="16152" sId="19" numFmtId="34">
    <oc r="C71">
      <v>1295.7018700000001</v>
    </oc>
    <nc r="C71">
      <v>900</v>
    </nc>
  </rcc>
  <rcc rId="16153" sId="19" numFmtId="34">
    <oc r="D71">
      <v>1294.20525</v>
    </oc>
    <nc r="D71">
      <v>0</v>
    </nc>
  </rcc>
  <rcc rId="16154" sId="19" numFmtId="34">
    <oc r="C72">
      <v>2680.5760300000002</v>
    </oc>
    <nc r="C72">
      <v>1639.011</v>
    </nc>
  </rcc>
  <rcc rId="16155" sId="19" numFmtId="34">
    <oc r="D72">
      <v>2539.5505899999998</v>
    </oc>
    <nc r="D72">
      <v>0</v>
    </nc>
  </rcc>
  <rcc rId="16156" sId="19" numFmtId="34">
    <oc r="C73">
      <v>226</v>
    </oc>
    <nc r="C73">
      <v>0</v>
    </nc>
  </rcc>
  <rcc rId="16157" sId="19" numFmtId="34">
    <oc r="D73">
      <v>223.95462000000001</v>
    </oc>
    <nc r="D73">
      <v>0</v>
    </nc>
  </rcc>
  <rcc rId="16158" sId="19" numFmtId="34">
    <oc r="C77">
      <v>498.79333000000003</v>
    </oc>
    <nc r="C77">
      <v>355.43099999999998</v>
    </nc>
  </rcc>
  <rcc rId="16159" sId="19" numFmtId="34">
    <oc r="D77">
      <v>498.71235000000001</v>
    </oc>
    <nc r="D77">
      <v>0</v>
    </nc>
  </rcc>
  <rcc rId="16160" sId="19" numFmtId="34">
    <oc r="C79">
      <v>6384.0006199999998</v>
    </oc>
    <nc r="C79">
      <v>1042.8</v>
    </nc>
  </rcc>
  <rcc rId="16161" sId="19" numFmtId="34">
    <oc r="D79">
      <v>6378.6048000000001</v>
    </oc>
    <nc r="D79">
      <v>86.832999999999998</v>
    </nc>
  </rcc>
  <rcc rId="16162" sId="19" numFmtId="34">
    <oc r="C86">
      <v>1.2849999999999999</v>
    </oc>
    <nc r="C86">
      <v>2</v>
    </nc>
  </rcc>
  <rcc rId="16163" sId="19" numFmtId="34">
    <oc r="D86">
      <v>1.2849999999999999</v>
    </oc>
    <nc r="D86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18229" sId="18" numFmtId="34">
    <oc r="D59">
      <v>80.442170000000004</v>
    </oc>
    <nc r="D59">
      <v>175.94698</v>
    </nc>
  </rcc>
  <rcc rId="18230" sId="18" numFmtId="34">
    <oc r="D66">
      <v>4.8</v>
    </oc>
    <nc r="D66">
      <v>20.593260000000001</v>
    </nc>
  </rcc>
  <rcc rId="18231" sId="18" numFmtId="34">
    <oc r="C76">
      <v>2176.46</v>
    </oc>
    <nc r="C76">
      <v>3229.96</v>
    </nc>
  </rcc>
  <rcc rId="18232" sId="18" numFmtId="34">
    <oc r="D76">
      <v>0</v>
    </oc>
    <nc r="D76">
      <v>103.679</v>
    </nc>
  </rcc>
  <rcc rId="18233" sId="18" numFmtId="34">
    <oc r="D77">
      <v>0</v>
    </oc>
    <nc r="D77">
      <v>6.5</v>
    </nc>
  </rcc>
  <rcc rId="18234" sId="18" numFmtId="34">
    <oc r="D81">
      <v>11.85478</v>
    </oc>
    <nc r="D81">
      <v>53.714550000000003</v>
    </nc>
  </rcc>
  <rcc rId="18235" sId="18" numFmtId="34">
    <oc r="C83">
      <v>1809.4</v>
    </oc>
    <nc r="C83">
      <v>1946.4</v>
    </nc>
  </rcc>
  <rcc rId="18236" sId="18" numFmtId="34">
    <oc r="D83">
      <v>149.191</v>
    </oc>
    <nc r="D83">
      <v>324.96165000000002</v>
    </nc>
  </rcc>
  <rcc rId="18237" sId="18" numFmtId="34">
    <oc r="C90">
      <v>22</v>
    </oc>
    <nc r="C90">
      <v>52</v>
    </nc>
  </rcc>
  <rcc rId="18238" sId="18" numFmtId="34">
    <oc r="D90">
      <v>0</v>
    </oc>
    <nc r="D90">
      <v>7.2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0897" sId="2">
    <oc r="E12" t="inlineStr">
      <is>
        <t>процент исполнения</t>
      </is>
    </oc>
    <nc r="E12" t="inlineStr">
      <is>
        <t>% исполнения</t>
      </is>
    </nc>
  </rcc>
  <rcc rId="20898" sId="2">
    <oc r="H12" t="inlineStr">
      <is>
        <t>процент исполнения</t>
      </is>
    </oc>
    <nc r="H12" t="inlineStr">
      <is>
        <t>% исполнения</t>
      </is>
    </nc>
  </rcc>
  <rcc rId="20899" sId="2">
    <oc r="K12" t="inlineStr">
      <is>
        <t>процент исполнения</t>
      </is>
    </oc>
    <nc r="K12" t="inlineStr">
      <is>
        <t>% исполнения</t>
      </is>
    </nc>
  </rcc>
  <rcc rId="20900" sId="2">
    <oc r="N12" t="inlineStr">
      <is>
        <t>процент исполнения</t>
      </is>
    </oc>
    <nc r="N12" t="inlineStr">
      <is>
        <t>% исполнения</t>
      </is>
    </nc>
  </rcc>
  <rcc rId="20901" sId="2">
    <oc r="Q12" t="inlineStr">
      <is>
        <t>процент исполнения</t>
      </is>
    </oc>
    <nc r="Q12" t="inlineStr">
      <is>
        <t>% исполнения</t>
      </is>
    </nc>
  </rcc>
  <rcc rId="20902" sId="2">
    <oc r="T12" t="inlineStr">
      <is>
        <t>процент исполнения</t>
      </is>
    </oc>
    <nc r="T12" t="inlineStr">
      <is>
        <t>% исполнения</t>
      </is>
    </nc>
  </rcc>
  <rcc rId="20903" sId="2">
    <oc r="W12" t="inlineStr">
      <is>
        <t>процент исполнения</t>
      </is>
    </oc>
    <nc r="W12" t="inlineStr">
      <is>
        <t>% исполнения</t>
      </is>
    </nc>
  </rcc>
  <rcc rId="20904" sId="2">
    <oc r="Z12" t="inlineStr">
      <is>
        <t>процент исполнения</t>
      </is>
    </oc>
    <nc r="Z12" t="inlineStr">
      <is>
        <t>% исполнения</t>
      </is>
    </nc>
  </rcc>
  <rcc rId="20905" sId="2">
    <oc r="AC12" t="inlineStr">
      <is>
        <t>процент исполнения</t>
      </is>
    </oc>
    <nc r="AC12" t="inlineStr">
      <is>
        <t>% исполнения</t>
      </is>
    </nc>
  </rcc>
  <rcc rId="20906" sId="2">
    <oc r="AF12" t="inlineStr">
      <is>
        <t>процент исполнения</t>
      </is>
    </oc>
    <nc r="AF12" t="inlineStr">
      <is>
        <t>% исполнения</t>
      </is>
    </nc>
  </rcc>
  <rcc rId="20907" sId="2">
    <oc r="AI12" t="inlineStr">
      <is>
        <t>процент исполнения</t>
      </is>
    </oc>
    <nc r="AI12" t="inlineStr">
      <is>
        <t>% исполнения</t>
      </is>
    </nc>
  </rcc>
  <rcc rId="20908" sId="2">
    <oc r="AL12" t="inlineStr">
      <is>
        <t>процент исполнения</t>
      </is>
    </oc>
    <nc r="AL12" t="inlineStr">
      <is>
        <t>% исполнения</t>
      </is>
    </nc>
  </rcc>
  <rcc rId="20909" sId="2">
    <oc r="AO12" t="inlineStr">
      <is>
        <t>процент исполнения</t>
      </is>
    </oc>
    <nc r="AO12" t="inlineStr">
      <is>
        <t>% исполнения</t>
      </is>
    </nc>
  </rcc>
  <rcc rId="20910" sId="2">
    <oc r="AR12" t="inlineStr">
      <is>
        <t>процент исполнения</t>
      </is>
    </oc>
    <nc r="AR12" t="inlineStr">
      <is>
        <t>% исполнения</t>
      </is>
    </nc>
  </rcc>
  <rcc rId="20911" sId="2">
    <oc r="AU12" t="inlineStr">
      <is>
        <t>процент исполнения</t>
      </is>
    </oc>
    <nc r="AU12" t="inlineStr">
      <is>
        <t>% исполнения</t>
      </is>
    </nc>
  </rcc>
  <rcc rId="20912" sId="2">
    <oc r="BA12" t="inlineStr">
      <is>
        <t>процент исполнения</t>
      </is>
    </oc>
    <nc r="BA12" t="inlineStr">
      <is>
        <t>% исполнения</t>
      </is>
    </nc>
  </rcc>
  <rcc rId="20913" sId="2">
    <oc r="BG12" t="inlineStr">
      <is>
        <t>процент исполнения</t>
      </is>
    </oc>
    <nc r="BG12" t="inlineStr">
      <is>
        <t>% исполнения</t>
      </is>
    </nc>
  </rcc>
  <rcc rId="20914" sId="2">
    <oc r="BP12" t="inlineStr">
      <is>
        <t>процент исполнения</t>
      </is>
    </oc>
    <nc r="BP12" t="inlineStr">
      <is>
        <t>% исполнения</t>
      </is>
    </nc>
  </rcc>
  <rcc rId="20915" sId="2">
    <oc r="BS12" t="inlineStr">
      <is>
        <t>процент исполнения</t>
      </is>
    </oc>
    <nc r="BS12" t="inlineStr">
      <is>
        <t>% исполнения</t>
      </is>
    </nc>
  </rcc>
  <rcc rId="20916" sId="2">
    <oc r="CB12" t="inlineStr">
      <is>
        <t>процент исполнения</t>
      </is>
    </oc>
    <nc r="CB12" t="inlineStr">
      <is>
        <t>% исполнения</t>
      </is>
    </nc>
  </rcc>
  <rcc rId="20917" sId="2">
    <oc r="CE12" t="inlineStr">
      <is>
        <t>процент исполнения</t>
      </is>
    </oc>
    <nc r="CE12" t="inlineStr">
      <is>
        <t>% исполнения</t>
      </is>
    </nc>
  </rcc>
  <rcc rId="20918" sId="2">
    <oc r="CH12" t="inlineStr">
      <is>
        <t>процент исполнения</t>
      </is>
    </oc>
    <nc r="CH12" t="inlineStr">
      <is>
        <t>% исполнения</t>
      </is>
    </nc>
  </rcc>
  <rcc rId="20919" sId="2">
    <oc r="CK12" t="inlineStr">
      <is>
        <t>процент исполнения</t>
      </is>
    </oc>
    <nc r="CK12" t="inlineStr">
      <is>
        <t>% исполнения</t>
      </is>
    </nc>
  </rcc>
  <rcc rId="20920" sId="2">
    <oc r="CN12" t="inlineStr">
      <is>
        <t>процент исполнения</t>
      </is>
    </oc>
    <nc r="CN12" t="inlineStr">
      <is>
        <t>% исполнения</t>
      </is>
    </nc>
  </rcc>
  <rcc rId="20921" sId="2">
    <oc r="CQ12" t="inlineStr">
      <is>
        <t>процент исполнения</t>
      </is>
    </oc>
    <nc r="CQ12" t="inlineStr">
      <is>
        <t>% исполнения</t>
      </is>
    </nc>
  </rcc>
  <rcc rId="20922" sId="2">
    <oc r="CT12" t="inlineStr">
      <is>
        <t>процент исполнения</t>
      </is>
    </oc>
    <nc r="CT12" t="inlineStr">
      <is>
        <t>% исполнения</t>
      </is>
    </nc>
  </rcc>
  <rcc rId="20923" sId="2">
    <oc r="CW12" t="inlineStr">
      <is>
        <t>процент исполнения</t>
      </is>
    </oc>
    <nc r="CW12" t="inlineStr">
      <is>
        <t>% исполнения</t>
      </is>
    </nc>
  </rcc>
  <rcc rId="20924" sId="2">
    <oc r="DI12" t="inlineStr">
      <is>
        <t>процент исполнения</t>
      </is>
    </oc>
    <nc r="DI12" t="inlineStr">
      <is>
        <t>% исполнения</t>
      </is>
    </nc>
  </rcc>
  <rcc rId="20925" sId="2">
    <oc r="DL12" t="inlineStr">
      <is>
        <t>процент исполнения</t>
      </is>
    </oc>
    <nc r="DL12" t="inlineStr">
      <is>
        <t>% исполнения</t>
      </is>
    </nc>
  </rcc>
  <rcc rId="20926" sId="2">
    <oc r="DO12" t="inlineStr">
      <is>
        <t>процент исполнения</t>
      </is>
    </oc>
    <nc r="DO12" t="inlineStr">
      <is>
        <t>% исполнения</t>
      </is>
    </nc>
  </rcc>
  <rcc rId="20927" sId="2">
    <oc r="DR12" t="inlineStr">
      <is>
        <t>процент исполнения</t>
      </is>
    </oc>
    <nc r="DR12" t="inlineStr">
      <is>
        <t>% исполнения</t>
      </is>
    </nc>
  </rcc>
  <rcc rId="20928" sId="2">
    <oc r="DU12" t="inlineStr">
      <is>
        <t>процент исполнения</t>
      </is>
    </oc>
    <nc r="DU12" t="inlineStr">
      <is>
        <t>% исполнения</t>
      </is>
    </nc>
  </rcc>
  <rcc rId="20929" sId="2">
    <oc r="DX12" t="inlineStr">
      <is>
        <t>процент исполнения</t>
      </is>
    </oc>
    <nc r="DX12" t="inlineStr">
      <is>
        <t>% исполнения</t>
      </is>
    </nc>
  </rcc>
  <rcc rId="20930" sId="2">
    <oc r="EA12" t="inlineStr">
      <is>
        <t>процент исполнения</t>
      </is>
    </oc>
    <nc r="EA12" t="inlineStr">
      <is>
        <t>% исполнения</t>
      </is>
    </nc>
  </rcc>
  <rcc rId="20931" sId="2">
    <oc r="ED12" t="inlineStr">
      <is>
        <t>процент исполнения</t>
      </is>
    </oc>
    <nc r="ED12" t="inlineStr">
      <is>
        <t>% исполнения</t>
      </is>
    </nc>
  </rcc>
  <rcc rId="20932" sId="2">
    <oc r="EG12" t="inlineStr">
      <is>
        <t>процент исполнения</t>
      </is>
    </oc>
    <nc r="EG12" t="inlineStr">
      <is>
        <t>% исполнения</t>
      </is>
    </nc>
  </rcc>
  <rcc rId="20933" sId="2">
    <oc r="EJ12" t="inlineStr">
      <is>
        <t>процент исполнения</t>
      </is>
    </oc>
    <nc r="EJ12" t="inlineStr">
      <is>
        <t>% исполнения</t>
      </is>
    </nc>
  </rcc>
  <rcc rId="20934" sId="2">
    <oc r="EM12" t="inlineStr">
      <is>
        <t>процент исполнения</t>
      </is>
    </oc>
    <nc r="EM12" t="inlineStr">
      <is>
        <t>% исполнения</t>
      </is>
    </nc>
  </rcc>
  <rcc rId="20935" sId="2">
    <oc r="EP12" t="inlineStr">
      <is>
        <t>процент исполнения</t>
      </is>
    </oc>
    <nc r="EP12" t="inlineStr">
      <is>
        <t>% исполнения</t>
      </is>
    </nc>
  </rcc>
  <rcc rId="20936" sId="2">
    <oc r="ES12" t="inlineStr">
      <is>
        <t>процент исполнения</t>
      </is>
    </oc>
    <nc r="ES12" t="inlineStr">
      <is>
        <t>% исполнения</t>
      </is>
    </nc>
  </rcc>
  <rcc rId="20937" sId="2">
    <oc r="EV12" t="inlineStr">
      <is>
        <t>процент исполнения</t>
      </is>
    </oc>
    <nc r="EV12" t="inlineStr">
      <is>
        <t>% исполнения</t>
      </is>
    </nc>
  </rcc>
  <rcc rId="20938" sId="2">
    <oc r="EY12" t="inlineStr">
      <is>
        <t>процент исполнения</t>
      </is>
    </oc>
    <nc r="EY12" t="inlineStr">
      <is>
        <t>% исполнения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0465" sId="1">
    <oc r="D27">
      <f>D24+D23+D25</f>
    </oc>
    <nc r="D27">
      <f>D24+D23+D25+D26</f>
    </nc>
  </rcc>
  <rcc rId="20466" sId="1">
    <oc r="G27">
      <f>G24+G23</f>
    </oc>
    <nc r="G27">
      <f>G24+G23+G26</f>
    </nc>
  </rcc>
  <rcc rId="20467" sId="1" numFmtId="4">
    <oc r="D25">
      <v>0</v>
    </oc>
    <nc r="D25">
      <f>G25+J25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c rId="19206" sId="18">
    <oc r="D55" t="inlineStr">
      <is>
        <t>исполнено на 01.04.2020 г.</t>
      </is>
    </oc>
    <nc r="D55" t="inlineStr">
      <is>
        <t>исполнено на 01.03.2020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fmt sheetId="2" sqref="G21">
    <dxf>
      <numFmt numFmtId="4" formatCode="#,##0.00"/>
    </dxf>
  </rfmt>
  <rfmt sheetId="2" sqref="G21">
    <dxf>
      <numFmt numFmtId="186" formatCode="#,##0.000"/>
    </dxf>
  </rfmt>
  <rfmt sheetId="2" sqref="G21">
    <dxf>
      <numFmt numFmtId="185" formatCode="#,##0.0000"/>
    </dxf>
  </rfmt>
  <rfmt sheetId="2" sqref="G21">
    <dxf>
      <numFmt numFmtId="172" formatCode="#,##0.00000"/>
    </dxf>
  </rfmt>
  <rfmt sheetId="2" sqref="G21">
    <dxf>
      <numFmt numFmtId="179" formatCode="#,##0.000000"/>
    </dxf>
  </rfmt>
  <rfmt sheetId="2" sqref="G21">
    <dxf>
      <numFmt numFmtId="172" formatCode="#,##0.00000"/>
    </dxf>
  </rfmt>
  <rfmt sheetId="2" sqref="G21">
    <dxf>
      <numFmt numFmtId="179" formatCode="#,##0.000000"/>
    </dxf>
  </rfmt>
  <rfmt sheetId="2" sqref="G21">
    <dxf>
      <numFmt numFmtId="187" formatCode="#,##0.0000000"/>
    </dxf>
  </rfmt>
  <rfmt sheetId="2" sqref="G14:G29">
    <dxf>
      <numFmt numFmtId="4" formatCode="#,##0.00"/>
    </dxf>
  </rfmt>
  <rfmt sheetId="2" sqref="G14:G29">
    <dxf>
      <numFmt numFmtId="186" formatCode="#,##0.000"/>
    </dxf>
  </rfmt>
  <rfmt sheetId="2" sqref="G14:G29">
    <dxf>
      <numFmt numFmtId="185" formatCode="#,##0.0000"/>
    </dxf>
  </rfmt>
  <rfmt sheetId="2" sqref="G14:G29">
    <dxf>
      <numFmt numFmtId="172" formatCode="#,##0.00000"/>
    </dxf>
  </rfmt>
  <rfmt sheetId="2" sqref="G14:G29">
    <dxf>
      <numFmt numFmtId="179" formatCode="#,##0.000000"/>
    </dxf>
  </rfmt>
  <rfmt sheetId="2" sqref="G14:G29">
    <dxf>
      <numFmt numFmtId="187" formatCode="#,##0.0000000"/>
    </dxf>
  </rfmt>
  <rfmt sheetId="2" sqref="G31">
    <dxf>
      <numFmt numFmtId="4" formatCode="#,##0.00"/>
    </dxf>
  </rfmt>
  <rfmt sheetId="2" sqref="G31">
    <dxf>
      <numFmt numFmtId="186" formatCode="#,##0.000"/>
    </dxf>
  </rfmt>
  <rfmt sheetId="2" sqref="G31">
    <dxf>
      <numFmt numFmtId="185" formatCode="#,##0.0000"/>
    </dxf>
  </rfmt>
  <rfmt sheetId="2" sqref="G31">
    <dxf>
      <numFmt numFmtId="172" formatCode="#,##0.00000"/>
    </dxf>
  </rfmt>
  <rfmt sheetId="2" sqref="G31">
    <dxf>
      <numFmt numFmtId="179" formatCode="#,##0.000000"/>
    </dxf>
  </rfmt>
  <rfmt sheetId="2" sqref="G31">
    <dxf>
      <numFmt numFmtId="187" formatCode="#,##0.0000000"/>
    </dxf>
  </rfmt>
  <rcc rId="21422" sId="11" numFmtId="4">
    <oc r="D6">
      <v>12.333333</v>
    </oc>
    <nc r="D6">
      <v>12.33333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9" sqref="C52:D52">
    <dxf>
      <numFmt numFmtId="186" formatCode="#,##0.0000"/>
    </dxf>
  </rfmt>
  <rfmt sheetId="9" sqref="C52:D52">
    <dxf>
      <numFmt numFmtId="187" formatCode="#,##0.000"/>
    </dxf>
  </rfmt>
  <rfmt sheetId="9" sqref="C52:D52">
    <dxf>
      <numFmt numFmtId="4" formatCode="#,##0.00"/>
    </dxf>
  </rfmt>
  <rfmt sheetId="9" sqref="C52:D52">
    <dxf>
      <numFmt numFmtId="167" formatCode="#,##0.0"/>
    </dxf>
  </rfmt>
  <rfmt sheetId="9" sqref="C52:D52">
    <dxf>
      <numFmt numFmtId="3" formatCode="#,##0"/>
    </dxf>
  </rfmt>
  <rfmt sheetId="9" sqref="C52:D52">
    <dxf>
      <numFmt numFmtId="167" formatCode="#,##0.0"/>
    </dxf>
  </rfmt>
  <rfmt sheetId="10" sqref="C99:D99 C51:D51 C39:D39 C39:D40">
    <dxf>
      <numFmt numFmtId="183" formatCode="0.000"/>
    </dxf>
  </rfmt>
  <rfmt sheetId="10" sqref="C99:D99 C51:D51 C39:D39 C39:D40">
    <dxf>
      <numFmt numFmtId="2" formatCode="0.00"/>
    </dxf>
  </rfmt>
  <rfmt sheetId="10" sqref="C99:D99 C51:D51 C39:D39 C39:D40">
    <dxf>
      <numFmt numFmtId="166" formatCode="0.0"/>
    </dxf>
  </rfmt>
  <rfmt sheetId="10" sqref="C99:D99 C51:D51 C39:D39 C39:D40">
    <dxf>
      <numFmt numFmtId="1" formatCode="0"/>
    </dxf>
  </rfmt>
  <rfmt sheetId="10" sqref="C99:D99 C51:D51 C39:D39 C39:D40">
    <dxf>
      <numFmt numFmtId="166" formatCode="0.0"/>
    </dxf>
  </rfmt>
  <rfmt sheetId="11" sqref="C40:D40 C51:D52 C98:D98">
    <dxf>
      <numFmt numFmtId="186" formatCode="#,##0.0000"/>
    </dxf>
  </rfmt>
  <rfmt sheetId="11" sqref="C40:D40 C51:D52 C98:D98">
    <dxf>
      <numFmt numFmtId="187" formatCode="#,##0.000"/>
    </dxf>
  </rfmt>
  <rfmt sheetId="11" sqref="C40:D40 C51:D52 C98:D98">
    <dxf>
      <numFmt numFmtId="4" formatCode="#,##0.00"/>
    </dxf>
  </rfmt>
  <rfmt sheetId="11" sqref="C40:D40 C51:D52 C98:D98">
    <dxf>
      <numFmt numFmtId="167" formatCode="#,##0.0"/>
    </dxf>
  </rfmt>
  <rfmt sheetId="12" sqref="C98:D98 C51:D51 C41:D41">
    <dxf>
      <numFmt numFmtId="174" formatCode="0.0000"/>
    </dxf>
  </rfmt>
  <rfmt sheetId="12" sqref="C98:D98 C51:D51 C41:D41">
    <dxf>
      <numFmt numFmtId="183" formatCode="0.000"/>
    </dxf>
  </rfmt>
  <rfmt sheetId="12" sqref="C98:D98 C51:D51 C41:D41">
    <dxf>
      <numFmt numFmtId="2" formatCode="0.00"/>
    </dxf>
  </rfmt>
  <rfmt sheetId="12" sqref="C98:D98 C51:D51 C41:D41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c rId="20733" sId="1">
    <oc r="A1" t="inlineStr">
      <is>
        <t>Анализ исполнения консолидированного бюджета Моргаушского районана 01.02.2020 г.</t>
      </is>
    </oc>
    <nc r="A1" t="inlineStr">
      <is>
        <t>Анализ исполнения консолидированного бюджета Моргаушского районана 01.03.2020 г.</t>
      </is>
    </nc>
  </rcc>
  <rcc rId="20734" sId="1">
    <oc r="D3" t="inlineStr">
      <is>
        <t>исполнено на 01.02.2020 г.</t>
      </is>
    </oc>
    <nc r="D3" t="inlineStr">
      <is>
        <t>исполнено на 01.03.2020 г.</t>
      </is>
    </nc>
  </rcc>
  <rcc rId="20735" sId="1">
    <oc r="G3" t="inlineStr">
      <is>
        <t>исполнено на 01.02.2020 г.</t>
      </is>
    </oc>
    <nc r="G3" t="inlineStr">
      <is>
        <t>исполнено на 01.03.2020 г.</t>
      </is>
    </nc>
  </rcc>
  <rcc rId="20736" sId="1">
    <oc r="J3" t="inlineStr">
      <is>
        <t>исполнено на 01.02.2020 г.</t>
      </is>
    </oc>
    <nc r="J3" t="inlineStr">
      <is>
        <t>исполнено на 01.03.2020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682" sId="15">
    <oc r="A1" t="inlineStr">
      <is>
        <t xml:space="preserve">                     Анализ исполнения бюджета Шатьмапосинского сельского поселения на 01.01.2020 г.</t>
      </is>
    </oc>
    <nc r="A1" t="inlineStr">
      <is>
        <t xml:space="preserve">                     Анализ исполнения бюджета Шатьмапосинского сельского поселения на 01.02.2020 г.</t>
      </is>
    </nc>
  </rcc>
  <rcc rId="15683" sId="15">
    <oc r="C3" t="inlineStr">
      <is>
        <t>назначено на 2019 г.</t>
      </is>
    </oc>
    <nc r="C3" t="inlineStr">
      <is>
        <t>назначено на 2020 г.</t>
      </is>
    </nc>
  </rcc>
  <rcc rId="15684" sId="15">
    <oc r="D3" t="inlineStr">
      <is>
        <t>исполнен на 01.01.2020 г.</t>
      </is>
    </oc>
    <nc r="D3" t="inlineStr">
      <is>
        <t>исполнен на 01.02.2020 г.</t>
      </is>
    </nc>
  </rcc>
  <rcc rId="15685" sId="15">
    <oc r="C54" t="inlineStr">
      <is>
        <t>назначено на 2019 г.</t>
      </is>
    </oc>
    <nc r="C54" t="inlineStr">
      <is>
        <t>назначено на 2020 г.</t>
      </is>
    </nc>
  </rcc>
  <rcc rId="15686" sId="15">
    <oc r="D54" t="inlineStr">
      <is>
        <t>исполнено на 01.01.2020 г.</t>
      </is>
    </oc>
    <nc r="D54" t="inlineStr">
      <is>
        <t>исполнено на 01.02.2020 г.</t>
      </is>
    </nc>
  </rcc>
  <rcc rId="15687" sId="15" numFmtId="4">
    <oc r="C6">
      <v>37.046999999999997</v>
    </oc>
    <nc r="C6">
      <v>44.3</v>
    </nc>
  </rcc>
  <rcc rId="15688" sId="15" numFmtId="4">
    <oc r="D6">
      <v>44.39725</v>
    </oc>
    <nc r="D6">
      <v>0.94494</v>
    </nc>
  </rcc>
  <rcc rId="15689" sId="15" numFmtId="4">
    <oc r="C8">
      <v>121.37</v>
    </oc>
    <nc r="C8">
      <v>140.30000000000001</v>
    </nc>
  </rcc>
  <rcc rId="15690" sId="15" numFmtId="4">
    <oc r="D8">
      <v>179.88147000000001</v>
    </oc>
    <nc r="D8">
      <v>14.24047</v>
    </nc>
  </rcc>
  <rcc rId="15691" sId="15" numFmtId="4">
    <oc r="C9">
      <v>1.3049999999999999</v>
    </oc>
    <nc r="C9">
      <v>1.5</v>
    </nc>
  </rcc>
  <rcc rId="15692" sId="15" numFmtId="4">
    <oc r="D9">
      <v>1.3221700000000001</v>
    </oc>
    <nc r="D9">
      <v>9.6890000000000004E-2</v>
    </nc>
  </rcc>
  <rcc rId="15693" sId="15" numFmtId="4">
    <oc r="C10">
      <v>202.73</v>
    </oc>
    <nc r="C10">
      <v>234.33</v>
    </nc>
  </rcc>
  <rcc rId="15694" sId="15" numFmtId="4">
    <oc r="D10">
      <v>240.32223999999999</v>
    </oc>
    <nc r="D10">
      <v>19.540109999999999</v>
    </nc>
  </rcc>
  <rcc rId="15695" sId="15" numFmtId="4">
    <oc r="D11">
      <v>-26.341080000000002</v>
    </oc>
    <nc r="D11">
      <v>-2.6179100000000002</v>
    </nc>
  </rcc>
  <rcc rId="15696" sId="15" numFmtId="4">
    <oc r="C13">
      <v>40</v>
    </oc>
    <nc r="C13">
      <v>50</v>
    </nc>
  </rcc>
  <rcc rId="15697" sId="15" numFmtId="4">
    <oc r="D13">
      <v>43.005290000000002</v>
    </oc>
    <nc r="D13">
      <v>0</v>
    </nc>
  </rcc>
  <rcc rId="15698" sId="15" numFmtId="4">
    <oc r="C15">
      <v>42</v>
    </oc>
    <nc r="C15">
      <v>65</v>
    </nc>
  </rcc>
  <rcc rId="15699" sId="15" numFmtId="4">
    <oc r="D15">
      <v>38.740839999999999</v>
    </oc>
    <nc r="D15">
      <v>3.8854000000000002</v>
    </nc>
  </rcc>
  <rcc rId="15700" sId="15" numFmtId="4">
    <oc r="C16">
      <v>305</v>
    </oc>
    <nc r="C16">
      <v>274</v>
    </nc>
  </rcc>
  <rcc rId="15701" sId="15" numFmtId="4">
    <oc r="D16">
      <v>290.87085999999999</v>
    </oc>
    <nc r="D16">
      <v>6.5442</v>
    </nc>
  </rcc>
  <rcc rId="15702" sId="15" numFmtId="4">
    <oc r="C18">
      <v>5</v>
    </oc>
    <nc r="C18">
      <v>3</v>
    </nc>
  </rcc>
  <rcc rId="15703" sId="15" numFmtId="4">
    <oc r="D18">
      <v>4.5</v>
    </oc>
    <nc r="D18">
      <v>0</v>
    </nc>
  </rcc>
  <rcc rId="15704" sId="15" numFmtId="4">
    <oc r="C27">
      <v>92</v>
    </oc>
    <nc r="C27">
      <v>153</v>
    </nc>
  </rcc>
  <rcc rId="15705" sId="15" numFmtId="4">
    <oc r="D27">
      <v>125.0138</v>
    </oc>
    <nc r="D27">
      <v>49.196800000000003</v>
    </nc>
  </rcc>
  <rcc rId="15706" sId="15" numFmtId="4">
    <oc r="C28">
      <v>17</v>
    </oc>
    <nc r="C28">
      <v>26</v>
    </nc>
  </rcc>
  <rcc rId="15707" sId="15" numFmtId="4">
    <oc r="D28">
      <v>26.011199999999999</v>
    </oc>
    <nc r="D28">
      <v>2.1676000000000002</v>
    </nc>
  </rcc>
  <rcc rId="15708" sId="15" numFmtId="4">
    <oc r="C30">
      <v>42</v>
    </oc>
    <nc r="C30"/>
  </rcc>
  <rcc rId="15709" sId="15" numFmtId="4">
    <oc r="D30">
      <v>41.089950000000002</v>
    </oc>
    <nc r="D30">
      <v>6.2038700000000002</v>
    </nc>
  </rcc>
  <rcc rId="15710" sId="15" numFmtId="4">
    <oc r="C42">
      <v>1347.9</v>
    </oc>
    <nc r="C42">
      <v>1263.2</v>
    </nc>
  </rcc>
  <rcc rId="15711" sId="15" numFmtId="4">
    <oc r="D42">
      <v>1347.9</v>
    </oc>
    <nc r="D42">
      <v>105.265</v>
    </nc>
  </rcc>
  <rcc rId="15712" sId="15" numFmtId="4">
    <oc r="C43">
      <v>320</v>
    </oc>
    <nc r="C43">
      <v>300</v>
    </nc>
  </rcc>
  <rcc rId="15713" sId="15" numFmtId="4">
    <oc r="D43">
      <v>320</v>
    </oc>
    <nc r="D43">
      <v>0</v>
    </nc>
  </rcc>
  <rcc rId="15714" sId="15" numFmtId="4">
    <oc r="C44">
      <v>858.75699999999995</v>
    </oc>
    <nc r="C44">
      <v>1078.827</v>
    </nc>
  </rcc>
  <rcc rId="15715" sId="15" numFmtId="4">
    <oc r="D44">
      <v>858.75699999999995</v>
    </oc>
    <nc r="D44">
      <v>0</v>
    </nc>
  </rcc>
  <rcc rId="15716" sId="15" numFmtId="4">
    <oc r="C45">
      <v>91.480999999999995</v>
    </oc>
    <nc r="C45">
      <v>93.784999999999997</v>
    </nc>
  </rcc>
  <rcc rId="15717" sId="15" numFmtId="4">
    <oc r="D45">
      <v>91.480999999999995</v>
    </oc>
    <nc r="D45">
      <v>7.4667000000000003</v>
    </nc>
  </rcc>
  <rcc rId="15718" sId="15" numFmtId="4">
    <oc r="C46">
      <v>208.655</v>
    </oc>
    <nc r="C46"/>
  </rcc>
  <rcc rId="15719" sId="15" numFmtId="4">
    <oc r="D46">
      <v>208.655</v>
    </oc>
    <nc r="D46"/>
  </rcc>
  <rcc rId="15720" sId="15" numFmtId="4">
    <oc r="C50">
      <v>118.26078</v>
    </oc>
    <nc r="C50"/>
  </rcc>
  <rcc rId="15721" sId="15" numFmtId="4">
    <oc r="D50">
      <v>210</v>
    </oc>
    <nc r="D50"/>
  </rcc>
  <rcc rId="15722" sId="15" numFmtId="34">
    <oc r="C58">
      <v>1112.133</v>
    </oc>
    <nc r="C58">
      <v>1153.2</v>
    </nc>
  </rcc>
  <rcc rId="15723" sId="15" numFmtId="34">
    <oc r="D58">
      <v>1096.1647399999999</v>
    </oc>
    <nc r="D58">
      <v>26.741230000000002</v>
    </nc>
  </rcc>
  <rcc rId="15724" sId="15">
    <oc r="A61" t="inlineStr">
      <is>
        <t>0106</t>
      </is>
    </oc>
    <nc r="A61" t="inlineStr">
      <is>
        <t>0107</t>
      </is>
    </nc>
  </rcc>
  <rcc rId="15725" sId="15" numFmtId="34">
    <oc r="C61">
      <v>0</v>
    </oc>
    <nc r="C61">
      <v>20.516999999999999</v>
    </nc>
  </rcc>
  <rcc rId="15726" sId="15" numFmtId="34">
    <oc r="C63">
      <v>9.0340000000000007</v>
    </oc>
    <nc r="C63">
      <v>2.5419999999999998</v>
    </nc>
  </rcc>
  <rcc rId="15727" sId="15" numFmtId="34">
    <oc r="D63">
      <v>9.0340000000000007</v>
    </oc>
    <nc r="D63">
      <v>0</v>
    </nc>
  </rcc>
  <rcc rId="15728" sId="15" numFmtId="34">
    <oc r="C65">
      <v>89.944999999999993</v>
    </oc>
    <nc r="C65">
      <v>89.605000000000004</v>
    </nc>
  </rcc>
  <rcc rId="15729" sId="15" numFmtId="34">
    <oc r="D65">
      <v>89.944999999999993</v>
    </oc>
    <nc r="D65">
      <v>2</v>
    </nc>
  </rcc>
  <rcc rId="15730" sId="15" numFmtId="34">
    <oc r="C69">
      <v>2.7031100000000001</v>
    </oc>
    <nc r="C69">
      <v>1</v>
    </nc>
  </rcc>
  <rcc rId="15731" sId="15" numFmtId="34">
    <oc r="D69">
      <v>2.7031100000000001</v>
    </oc>
    <nc r="D69">
      <v>0</v>
    </nc>
  </rcc>
  <rcc rId="15732" sId="15" numFmtId="34">
    <oc r="C70">
      <v>12.15</v>
    </oc>
    <nc r="C70">
      <v>1</v>
    </nc>
  </rcc>
  <rcc rId="15733" sId="15" numFmtId="34">
    <oc r="D70">
      <v>12.15</v>
    </oc>
    <nc r="D70">
      <v>0</v>
    </nc>
  </rcc>
  <rcc rId="15734" sId="15" numFmtId="34">
    <oc r="C71">
      <v>6.6000000000000003E-2</v>
    </oc>
    <nc r="C71">
      <v>2</v>
    </nc>
  </rcc>
  <rcc rId="15735" sId="15" numFmtId="34">
    <oc r="D71">
      <v>6.6000000000000003E-2</v>
    </oc>
    <nc r="D71">
      <v>0</v>
    </nc>
  </rcc>
  <rcc rId="15736" sId="15" numFmtId="34">
    <oc r="C73">
      <v>4.0214999999999996</v>
    </oc>
    <nc r="C73">
      <v>10.021000000000001</v>
    </nc>
  </rcc>
  <rcc rId="15737" sId="15" numFmtId="34">
    <oc r="D73">
      <v>4.0214999999999996</v>
    </oc>
    <nc r="D73">
      <v>0</v>
    </nc>
  </rcc>
  <rcc rId="15738" sId="15" numFmtId="34">
    <oc r="C74">
      <v>86.461889999999997</v>
    </oc>
    <nc r="C74">
      <v>0</v>
    </nc>
  </rcc>
  <rcc rId="15739" sId="15" numFmtId="34">
    <oc r="D74">
      <v>85.606759999999994</v>
    </oc>
    <nc r="D74">
      <v>0</v>
    </nc>
  </rcc>
  <rcc rId="15740" sId="15" numFmtId="34">
    <oc r="C75">
      <v>1355.8006499999999</v>
    </oc>
    <nc r="C75">
      <v>1454.9570000000001</v>
    </nc>
  </rcc>
  <rcc rId="15741" sId="15" numFmtId="34">
    <oc r="D75">
      <v>1093.6288999999999</v>
    </oc>
    <nc r="D75">
      <v>0</v>
    </nc>
  </rcc>
  <rcc rId="15742" sId="15" numFmtId="34">
    <oc r="C76">
      <v>148.1</v>
    </oc>
    <nc r="C76">
      <v>0</v>
    </nc>
  </rcc>
  <rcc rId="15743" sId="15" numFmtId="34">
    <oc r="D76">
      <v>148.1</v>
    </oc>
    <nc r="D76">
      <v>0</v>
    </nc>
  </rcc>
  <rcc rId="15744" sId="15" numFmtId="34">
    <oc r="C80">
      <v>392.85</v>
    </oc>
    <nc r="C80">
      <v>153</v>
    </nc>
  </rcc>
  <rcc rId="15745" sId="15" numFmtId="34">
    <oc r="D80">
      <v>392.85</v>
    </oc>
    <nc r="D80">
      <v>7.8357900000000003</v>
    </nc>
  </rcc>
  <rcc rId="15746" sId="15" numFmtId="34">
    <oc r="C82">
      <v>801.4</v>
    </oc>
    <nc r="C82">
      <v>832.4</v>
    </nc>
  </rcc>
  <rcc rId="15747" sId="15" numFmtId="34">
    <oc r="D82">
      <v>801.4</v>
    </oc>
    <nc r="D82">
      <v>70</v>
    </nc>
  </rcc>
  <rcc rId="15748" sId="15" numFmtId="34">
    <oc r="C89">
      <v>0.99</v>
    </oc>
    <nc r="C89">
      <v>2</v>
    </nc>
  </rcc>
  <rcc rId="15749" sId="15" numFmtId="34">
    <oc r="D89">
      <v>0.99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5251" sId="10" numFmtId="4">
    <nc r="C45">
      <v>183.38800000000001</v>
    </nc>
  </rcc>
  <rcc rId="15252" sId="10" numFmtId="4">
    <nc r="D45">
      <v>14.933299999999999</v>
    </nc>
  </rcc>
  <rcc rId="15253" sId="10" numFmtId="34">
    <oc r="C58">
      <v>1487.0609999999999</v>
    </oc>
    <nc r="C58">
      <v>1441</v>
    </nc>
  </rcc>
  <rcc rId="15254" sId="10" numFmtId="34">
    <oc r="D58">
      <v>1481.66993</v>
    </oc>
    <nc r="D58">
      <v>40.233980000000003</v>
    </nc>
  </rcc>
  <rcc rId="15255" sId="10" numFmtId="34">
    <oc r="C61">
      <v>0</v>
    </oc>
    <nc r="C61">
      <v>42</v>
    </nc>
  </rcc>
  <rcc rId="15256" sId="10" numFmtId="34">
    <oc r="C63">
      <v>26.763000000000002</v>
    </oc>
    <nc r="C63">
      <v>3.9950000000000001</v>
    </nc>
  </rcc>
  <rcc rId="15257" sId="10" numFmtId="34">
    <oc r="D63">
      <v>15.028499999999999</v>
    </oc>
    <nc r="D63">
      <v>0</v>
    </nc>
  </rcc>
  <rcc rId="15258" sId="10" numFmtId="34">
    <oc r="C65">
      <v>179.892</v>
    </oc>
    <nc r="C65">
      <v>179.208</v>
    </nc>
  </rcc>
  <rcc rId="15259" sId="10" numFmtId="34">
    <oc r="D65">
      <v>179.892</v>
    </oc>
    <nc r="D65">
      <v>4</v>
    </nc>
  </rcc>
  <rcc rId="15260" sId="10" numFmtId="34">
    <oc r="C69">
      <v>3</v>
    </oc>
    <nc r="C69">
      <v>2</v>
    </nc>
  </rcc>
  <rcc rId="15261" sId="10" numFmtId="34">
    <oc r="D69">
      <v>2.7031100000000001</v>
    </oc>
    <nc r="D69">
      <v>0</v>
    </nc>
  </rcc>
  <rcc rId="15262" sId="10" numFmtId="34">
    <oc r="C70">
      <v>108.5</v>
    </oc>
    <nc r="C70">
      <v>6</v>
    </nc>
  </rcc>
  <rcc rId="15263" sId="10" numFmtId="34">
    <oc r="D70">
      <v>108.15</v>
    </oc>
    <nc r="D70">
      <v>1.5</v>
    </nc>
  </rcc>
  <rcc rId="15264" sId="10" numFmtId="34">
    <oc r="D71">
      <v>2</v>
    </oc>
    <nc r="D71">
      <v>0</v>
    </nc>
  </rcc>
  <rcc rId="15265" sId="10" numFmtId="34">
    <oc r="C73">
      <v>6.7024999999999997</v>
    </oc>
    <nc r="C73">
      <v>10.021000000000001</v>
    </nc>
  </rcc>
  <rcc rId="15266" sId="10" numFmtId="34">
    <oc r="D73">
      <v>6.7024999999999997</v>
    </oc>
    <nc r="D73">
      <v>0</v>
    </nc>
  </rcc>
  <rcc rId="15267" sId="10" numFmtId="34">
    <oc r="C74">
      <v>210.5</v>
    </oc>
    <nc r="C74">
      <v>334.79899999999998</v>
    </nc>
  </rcc>
  <rcc rId="15268" sId="10" numFmtId="34">
    <oc r="D74">
      <v>207.75</v>
    </oc>
    <nc r="D74">
      <v>0</v>
    </nc>
  </rcc>
  <rcc rId="15269" sId="10" numFmtId="34">
    <oc r="C75">
      <v>1716.9789800000001</v>
    </oc>
    <nc r="C75">
      <v>1324.3050000000001</v>
    </nc>
  </rcc>
  <rcc rId="15270" sId="10" numFmtId="34">
    <oc r="D75">
      <v>1716.9789800000001</v>
    </oc>
    <nc r="D75">
      <v>0</v>
    </nc>
  </rcc>
  <rcc rId="15271" sId="10" numFmtId="34">
    <oc r="C76">
      <v>240</v>
    </oc>
    <nc r="C76">
      <v>0</v>
    </nc>
  </rcc>
  <rcc rId="15272" sId="10" numFmtId="34">
    <oc r="D76">
      <v>239.22499999999999</v>
    </oc>
    <nc r="D76">
      <v>0</v>
    </nc>
  </rcc>
  <rcc rId="15273" sId="10" numFmtId="34">
    <oc r="C80">
      <v>1429.009</v>
    </oc>
    <nc r="C80">
      <v>517.96500000000003</v>
    </nc>
  </rcc>
  <rcc rId="15274" sId="10" numFmtId="34">
    <oc r="D80">
      <v>1166.76992</v>
    </oc>
    <nc r="D80">
      <v>16.170000000000002</v>
    </nc>
  </rcc>
  <rcc rId="15275" sId="10" numFmtId="34">
    <oc r="C83">
      <v>1668.1</v>
    </oc>
    <nc r="C83">
      <v>1674.3</v>
    </nc>
  </rcc>
  <rcc rId="15276" sId="10" numFmtId="34">
    <oc r="D83">
      <v>1667.7460000000001</v>
    </oc>
    <nc r="D83">
      <v>100</v>
    </nc>
  </rcc>
  <rcc rId="15277" sId="10" numFmtId="34">
    <oc r="C90">
      <v>12</v>
    </oc>
    <nc r="C90">
      <v>2</v>
    </nc>
  </rcc>
  <rcc rId="15278" sId="10" numFmtId="34">
    <oc r="D90">
      <v>12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4441" sId="4">
    <oc r="A1" t="inlineStr">
      <is>
        <t xml:space="preserve">                     Анализ исполнения бюджета Александровского сельского поселения на 01.01.2020 г.</t>
      </is>
    </oc>
    <nc r="A1" t="inlineStr">
      <is>
        <t xml:space="preserve">                     Анализ исполнения бюджета Александровского сельского поселения на 01.02.2020 г.</t>
      </is>
    </nc>
  </rcc>
  <rcc rId="14442" sId="4">
    <oc r="C3" t="inlineStr">
      <is>
        <t>назначено на 2019 г.</t>
      </is>
    </oc>
    <nc r="C3" t="inlineStr">
      <is>
        <t>назначено на 2020 г.</t>
      </is>
    </nc>
  </rcc>
  <rcc rId="14443" sId="4">
    <oc r="D3" t="inlineStr">
      <is>
        <t>исполнен на 01.01.2020 г.</t>
      </is>
    </oc>
    <nc r="D3" t="inlineStr">
      <is>
        <t>исполнен на 01.02.2020 г.</t>
      </is>
    </nc>
  </rcc>
  <rcc rId="14444" sId="4">
    <oc r="C50" t="inlineStr">
      <is>
        <t>назначено на 2019 г.</t>
      </is>
    </oc>
    <nc r="C50" t="inlineStr">
      <is>
        <t>назначено на 2020 г.</t>
      </is>
    </nc>
  </rcc>
  <rcc rId="14445" sId="4">
    <oc r="D50" t="inlineStr">
      <is>
        <t>исполнено на 01.01.2020 г.</t>
      </is>
    </oc>
    <nc r="D50" t="inlineStr">
      <is>
        <t>исполнено на 01.02.2020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F27" start="0" length="2147483647">
    <dxf>
      <font>
        <color theme="1"/>
      </font>
    </dxf>
  </rfmt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18667" sId="19" numFmtId="34">
    <oc r="D55">
      <v>29.6</v>
    </oc>
    <nc r="D55">
      <v>127.20318</v>
    </nc>
  </rcc>
  <rcc rId="18668" sId="19" numFmtId="34">
    <oc r="D62">
      <v>2.4</v>
    </oc>
    <nc r="D62">
      <v>10.29664</v>
    </nc>
  </rcc>
  <rcc rId="18669" sId="19" numFmtId="34">
    <oc r="D67">
      <v>0</v>
    </oc>
    <nc r="D67">
      <v>1.5</v>
    </nc>
  </rcc>
  <rcc rId="18670" sId="19" numFmtId="34">
    <oc r="C71">
      <v>900</v>
    </oc>
    <nc r="C71">
      <v>1973.7</v>
    </nc>
  </rcc>
  <rcc rId="18671" sId="19" numFmtId="34">
    <oc r="D79">
      <v>86.832999999999998</v>
    </oc>
    <nc r="D79">
      <v>17.666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18591" sId="19" numFmtId="4">
    <oc r="D6">
      <v>5.0952900000000003</v>
    </oc>
    <nc r="D6">
      <v>17.826239999999999</v>
    </nc>
  </rcc>
  <rcc rId="18592" sId="19" numFmtId="4">
    <oc r="D8">
      <v>18.66656</v>
    </oc>
    <nc r="D8">
      <v>34.544640000000001</v>
    </nc>
  </rcc>
  <rcc rId="18593" sId="19" numFmtId="4">
    <oc r="D9">
      <v>0.12701999999999999</v>
    </oc>
    <nc r="D9">
      <v>0.21648999999999999</v>
    </nc>
  </rcc>
  <rcc rId="18594" sId="19" numFmtId="4">
    <oc r="D10">
      <v>25.613409999999998</v>
    </oc>
    <nc r="D10">
      <v>49.448439999999998</v>
    </nc>
  </rcc>
  <rcc rId="18595" sId="19" numFmtId="4">
    <oc r="D11">
      <v>-3.4316</v>
    </oc>
    <nc r="D11">
      <v>-6.7440899999999999</v>
    </nc>
  </rcc>
  <rcc rId="18596" sId="19" numFmtId="4">
    <oc r="D15">
      <v>0.40275</v>
    </oc>
    <nc r="D15">
      <v>24.052070000000001</v>
    </nc>
  </rcc>
  <rcc rId="18597" sId="19" numFmtId="4">
    <oc r="D16">
      <v>16.76437</v>
    </oc>
    <nc r="D16">
      <v>43.873899999999999</v>
    </nc>
  </rcc>
  <rcc rId="18598" sId="19" numFmtId="4">
    <oc r="D18">
      <v>1</v>
    </oc>
    <nc r="D18">
      <v>1.6</v>
    </nc>
  </rcc>
  <rcc rId="18599" sId="19" numFmtId="4">
    <oc r="D27">
      <v>12.44459</v>
    </oc>
    <nc r="D27">
      <v>117.84098</v>
    </nc>
  </rcc>
  <rcc rId="18600" sId="19" numFmtId="4">
    <oc r="D39">
      <v>60.841000000000001</v>
    </oc>
    <nc r="D39">
      <v>121.682</v>
    </nc>
  </rcc>
  <rcc rId="18601" sId="19" numFmtId="4">
    <oc r="D42">
      <v>7.4667000000000003</v>
    </oc>
    <nc r="D42">
      <v>14.933400000000001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fmt sheetId="6" sqref="C102:D102 C53:D53">
    <dxf>
      <numFmt numFmtId="174" formatCode="0.0000"/>
    </dxf>
  </rfmt>
  <rfmt sheetId="6" sqref="C102:D102 C53:D53">
    <dxf>
      <numFmt numFmtId="183" formatCode="0.000"/>
    </dxf>
  </rfmt>
  <rfmt sheetId="6" sqref="C102:D102 C53:D53">
    <dxf>
      <numFmt numFmtId="2" formatCode="0.00"/>
    </dxf>
  </rfmt>
  <rfmt sheetId="6" sqref="C102:D102 C53:D53">
    <dxf>
      <numFmt numFmtId="166" formatCode="0.0"/>
    </dxf>
  </rfmt>
  <rfmt sheetId="7" sqref="C7">
    <dxf>
      <numFmt numFmtId="165" formatCode="_(* #,##0.00_);_(* \(#,##0.00\);_(* &quot;-&quot;??_);_(@_)"/>
    </dxf>
  </rfmt>
  <rfmt sheetId="7" sqref="C7">
    <dxf>
      <numFmt numFmtId="169" formatCode="_(* #,##0.0_);_(* \(#,##0.0\);_(* &quot;-&quot;??_);_(@_)"/>
    </dxf>
  </rfmt>
  <rfmt sheetId="7" sqref="C50:D50 C97:D97">
    <dxf>
      <numFmt numFmtId="186" formatCode="#,##0.0000"/>
    </dxf>
  </rfmt>
  <rfmt sheetId="7" sqref="C50:D50 C97:D97">
    <dxf>
      <numFmt numFmtId="187" formatCode="#,##0.000"/>
    </dxf>
  </rfmt>
  <rfmt sheetId="7" sqref="C50:D50 C97:D97">
    <dxf>
      <numFmt numFmtId="4" formatCode="#,##0.00"/>
    </dxf>
  </rfmt>
  <rfmt sheetId="7" sqref="C50:D50 C97:D97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211.xml><?xml version="1.0" encoding="utf-8"?>
<revisions xmlns="http://schemas.openxmlformats.org/spreadsheetml/2006/main" xmlns:r="http://schemas.openxmlformats.org/officeDocument/2006/relationships">
  <rfmt sheetId="2" sqref="P14:P29">
    <dxf>
      <numFmt numFmtId="4" formatCode="#,##0.00"/>
    </dxf>
  </rfmt>
  <rfmt sheetId="2" sqref="P14:P29">
    <dxf>
      <numFmt numFmtId="187" formatCode="#,##0.000"/>
    </dxf>
  </rfmt>
  <rfmt sheetId="2" sqref="P14:P29">
    <dxf>
      <numFmt numFmtId="186" formatCode="#,##0.0000"/>
    </dxf>
  </rfmt>
  <rfmt sheetId="2" sqref="P14:P29">
    <dxf>
      <numFmt numFmtId="172" formatCode="#,##0.00000"/>
    </dxf>
  </rfmt>
  <rfmt sheetId="2" sqref="P14:P29">
    <dxf>
      <numFmt numFmtId="179" formatCode="#,##0.000000"/>
    </dxf>
  </rfmt>
  <rcc rId="19790" sId="2" numFmtId="4">
    <oc r="P32">
      <v>4.8647999999999998</v>
    </oc>
    <nc r="P32">
      <v>4.0864799999999999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5591" sId="14">
    <oc r="A1" t="inlineStr">
      <is>
        <t xml:space="preserve">                     Анализ исполнения бюджета Чуманкасинского сельского поселения на 01.01.2020 г.</t>
      </is>
    </oc>
    <nc r="A1" t="inlineStr">
      <is>
        <t xml:space="preserve">                     Анализ исполнения бюджета Чуманкасинского сельского поселения на 01.02.2020 г.</t>
      </is>
    </nc>
  </rcc>
  <rcc rId="15592" sId="14">
    <oc r="C3" t="inlineStr">
      <is>
        <t>назначено на 2019 г.</t>
      </is>
    </oc>
    <nc r="C3" t="inlineStr">
      <is>
        <t>назначено на 2020 г.</t>
      </is>
    </nc>
  </rcc>
  <rcc rId="15593" sId="14">
    <oc r="D3" t="inlineStr">
      <is>
        <t>исполнен на 01.01.2020 г.</t>
      </is>
    </oc>
    <nc r="D3" t="inlineStr">
      <is>
        <t>исполнен на 01.02.2020 г.</t>
      </is>
    </nc>
  </rcc>
  <rcc rId="15594" sId="14">
    <oc r="C54" t="inlineStr">
      <is>
        <t>назначено на 2019 г.</t>
      </is>
    </oc>
    <nc r="C54" t="inlineStr">
      <is>
        <t>назначено на 2020 г.</t>
      </is>
    </nc>
  </rcc>
  <rcc rId="15595" sId="14">
    <oc r="D54" t="inlineStr">
      <is>
        <t>исполнено на 01.01.2020 г.</t>
      </is>
    </oc>
    <nc r="D54" t="inlineStr">
      <is>
        <t>исполнено на 01.02.2020 г.</t>
      </is>
    </nc>
  </rcc>
  <rcc rId="15596" sId="14" numFmtId="4">
    <oc r="C6">
      <v>106.511</v>
    </oc>
    <nc r="C6">
      <v>106.5</v>
    </nc>
  </rcc>
  <rcc rId="15597" sId="14" numFmtId="4">
    <oc r="D6">
      <v>102.98345</v>
    </oc>
    <nc r="D6">
      <v>2.00969</v>
    </nc>
  </rcc>
  <rcc rId="15598" sId="14" numFmtId="4">
    <oc r="C8">
      <v>118.16</v>
    </oc>
    <nc r="C8">
      <v>137.44999999999999</v>
    </nc>
  </rcc>
  <rcc rId="15599" sId="14" numFmtId="4">
    <oc r="D8">
      <v>175.11639</v>
    </oc>
    <nc r="D8">
      <v>13.95181</v>
    </nc>
  </rcc>
  <rcc rId="15600" sId="14" numFmtId="4">
    <oc r="C9">
      <v>1.2649999999999999</v>
    </oc>
    <nc r="C9">
      <v>1.47</v>
    </nc>
  </rcc>
  <rcc rId="15601" sId="14" numFmtId="4">
    <oc r="D9">
      <v>1.28715</v>
    </oc>
    <nc r="D9">
      <v>9.493E-2</v>
    </nc>
  </rcc>
  <rcc rId="15602" sId="14" numFmtId="4">
    <oc r="C10">
      <v>197.36</v>
    </oc>
    <nc r="C10">
      <v>229.58</v>
    </nc>
  </rcc>
  <rcc rId="15603" sId="14" numFmtId="4">
    <oc r="D10">
      <v>233.95607999999999</v>
    </oc>
    <nc r="D10">
      <v>19.14404</v>
    </nc>
  </rcc>
  <rcc rId="15604" sId="14" numFmtId="4">
    <oc r="D11">
      <v>-25.6433</v>
    </oc>
    <nc r="D11">
      <v>-2.5648599999999999</v>
    </nc>
  </rcc>
  <rcc rId="15605" sId="14" numFmtId="4">
    <oc r="D13">
      <v>69.128699999999995</v>
    </oc>
    <nc r="D13">
      <v>0</v>
    </nc>
  </rcc>
  <rcc rId="15606" sId="14" numFmtId="4">
    <oc r="C15">
      <v>88</v>
    </oc>
    <nc r="C15">
      <v>95</v>
    </nc>
  </rcc>
  <rcc rId="15607" sId="14" numFmtId="4">
    <oc r="D15">
      <v>92.513220000000004</v>
    </oc>
    <nc r="D15">
      <v>0.36249999999999999</v>
    </nc>
  </rcc>
  <rcc rId="15608" sId="14" numFmtId="4">
    <oc r="C16">
      <v>460</v>
    </oc>
    <nc r="C16">
      <v>451</v>
    </nc>
  </rcc>
  <rcc rId="15609" sId="14" numFmtId="4">
    <oc r="D16">
      <v>438.66782000000001</v>
    </oc>
    <nc r="D16">
      <v>7.0626800000000003</v>
    </nc>
  </rcc>
  <rcc rId="15610" sId="14" numFmtId="4">
    <oc r="D18">
      <v>4.8</v>
    </oc>
    <nc r="D18">
      <v>0</v>
    </nc>
  </rcc>
  <rcc rId="15611" sId="14" numFmtId="4">
    <oc r="C27">
      <v>55</v>
    </oc>
    <nc r="C27">
      <v>85.6</v>
    </nc>
  </rcc>
  <rcc rId="15612" sId="14" numFmtId="4">
    <oc r="D27">
      <v>113.7734</v>
    </oc>
    <nc r="D27">
      <v>0</v>
    </nc>
  </rcc>
  <rcc rId="15613" sId="14" numFmtId="4">
    <oc r="C30">
      <v>45</v>
    </oc>
    <nc r="C30">
      <v>0</v>
    </nc>
  </rcc>
  <rcc rId="15614" sId="14" numFmtId="4">
    <oc r="D30">
      <v>63.598880000000001</v>
    </oc>
    <nc r="D30">
      <v>0</v>
    </nc>
  </rcc>
  <rcc rId="15615" sId="14" numFmtId="4">
    <oc r="C42">
      <v>1969.9</v>
    </oc>
    <nc r="C42">
      <v>2064.4</v>
    </nc>
  </rcc>
  <rcc rId="15616" sId="14" numFmtId="4">
    <oc r="C43">
      <v>803</v>
    </oc>
    <nc r="C43">
      <v>0</v>
    </nc>
  </rcc>
  <rcc rId="15617" sId="14" numFmtId="4">
    <oc r="D43">
      <v>803</v>
    </oc>
    <nc r="D43">
      <v>0</v>
    </nc>
  </rcc>
  <rcc rId="15618" sId="14" numFmtId="4">
    <oc r="C44">
      <v>1682.0989999999999</v>
    </oc>
    <nc r="C44">
      <v>825.37699999999995</v>
    </nc>
  </rcc>
  <rcc rId="15619" sId="14" numFmtId="4">
    <oc r="D44">
      <v>1682.0989999999999</v>
    </oc>
    <nc r="D44">
      <v>0</v>
    </nc>
  </rcc>
  <rcc rId="15620" sId="14" numFmtId="4">
    <oc r="D46">
      <v>166.33785</v>
    </oc>
    <nc r="D46">
      <v>0</v>
    </nc>
  </rcc>
  <rcc rId="15621" sId="14" numFmtId="4">
    <oc r="D50">
      <v>553.79373999999996</v>
    </oc>
    <nc r="D50">
      <v>0</v>
    </nc>
  </rcc>
  <rcc rId="15622" sId="14" numFmtId="4">
    <oc r="C45">
      <v>92.710999999999999</v>
    </oc>
    <nc r="C45">
      <v>93.784999999999997</v>
    </nc>
  </rcc>
  <rcc rId="15623" sId="14" numFmtId="4">
    <oc r="D45">
      <v>92.710999999999999</v>
    </oc>
    <nc r="D45">
      <v>7.4667000000000003</v>
    </nc>
  </rcc>
  <rcc rId="15624" sId="14" numFmtId="4">
    <oc r="C46">
      <v>166.33785</v>
    </oc>
    <nc r="C46"/>
  </rcc>
  <rcc rId="15625" sId="14" numFmtId="4">
    <oc r="C50">
      <v>329.44087000000002</v>
    </oc>
    <nc r="C50"/>
  </rcc>
  <rcc rId="15626" sId="14" numFmtId="4">
    <oc r="D42">
      <v>1969.9</v>
    </oc>
    <nc r="D42">
      <v>172.03039999999999</v>
    </nc>
  </rcc>
  <rcc rId="15627" sId="14" numFmtId="34">
    <oc r="C58">
      <v>1316.22189</v>
    </oc>
    <nc r="C58">
      <v>1320.9</v>
    </nc>
  </rcc>
  <rcc rId="15628" sId="14" numFmtId="34">
    <oc r="D58">
      <v>1308.3544999999999</v>
    </oc>
    <nc r="D58">
      <v>23.839120000000001</v>
    </nc>
  </rcc>
  <rcc rId="15629" sId="14" numFmtId="34">
    <oc r="C61">
      <v>0</v>
    </oc>
    <nc r="C61">
      <v>27</v>
    </nc>
  </rcc>
  <rcc rId="15630" sId="14" numFmtId="34">
    <oc r="C63">
      <v>32.298000000000002</v>
    </oc>
    <nc r="C63">
      <v>3.22</v>
    </nc>
  </rcc>
  <rcc rId="15631" sId="14" numFmtId="34">
    <oc r="D63">
      <v>12.298</v>
    </oc>
    <nc r="D63">
      <v>0</v>
    </nc>
  </rcc>
  <rcc rId="15632" sId="14" numFmtId="34">
    <oc r="C65">
      <v>89.945999999999998</v>
    </oc>
    <nc r="C65">
      <v>89.605000000000004</v>
    </nc>
  </rcc>
  <rcc rId="15633" sId="14" numFmtId="34">
    <oc r="D65">
      <v>89.945999999999998</v>
    </oc>
    <nc r="D65">
      <v>2</v>
    </nc>
  </rcc>
  <rcc rId="15634" sId="14" numFmtId="34">
    <oc r="C69">
      <v>2.7031100000000001</v>
    </oc>
    <nc r="C69">
      <v>1.6</v>
    </nc>
  </rcc>
  <rcc rId="15635" sId="14" numFmtId="34">
    <oc r="D69">
      <v>2.7031100000000001</v>
    </oc>
    <nc r="D69">
      <v>0</v>
    </nc>
  </rcc>
  <rcc rId="15636" sId="14" numFmtId="34">
    <oc r="D70">
      <v>2.4</v>
    </oc>
    <nc r="D70">
      <v>0</v>
    </nc>
  </rcc>
  <rcc rId="15637" sId="14" numFmtId="34">
    <oc r="D71">
      <v>2</v>
    </oc>
    <nc r="D71">
      <v>0</v>
    </nc>
  </rcc>
  <rcc rId="15638" sId="14" numFmtId="34">
    <oc r="C73">
      <v>6.7024999999999997</v>
    </oc>
    <nc r="C73">
      <v>10.021000000000001</v>
    </nc>
  </rcc>
  <rcc rId="15639" sId="14" numFmtId="34">
    <oc r="D73">
      <v>6.7024999999999997</v>
    </oc>
    <nc r="D73">
      <v>0</v>
    </nc>
  </rcc>
  <rcc rId="15640" sId="14" numFmtId="34">
    <oc r="C74">
      <v>177.24700000000001</v>
    </oc>
    <nc r="C74">
      <v>50</v>
    </nc>
  </rcc>
  <rcc rId="15641" sId="14" numFmtId="34">
    <oc r="D74">
      <v>162.90852000000001</v>
    </oc>
    <nc r="D74">
      <v>18.47776</v>
    </nc>
  </rcc>
  <rcc rId="15642" sId="14" numFmtId="34">
    <oc r="C75">
      <v>2259.00974</v>
    </oc>
    <nc r="C75">
      <v>1193.877</v>
    </nc>
  </rcc>
  <rcc rId="15643" sId="14" numFmtId="34">
    <oc r="D75">
      <v>2253.00974</v>
    </oc>
    <nc r="D75">
      <v>7.23</v>
    </nc>
  </rcc>
  <rcc rId="15644" sId="14" numFmtId="34">
    <oc r="C76">
      <v>51.07</v>
    </oc>
    <nc r="C76">
      <v>52.9</v>
    </nc>
  </rcc>
  <rcc rId="15645" sId="14" numFmtId="34">
    <oc r="D76">
      <v>42.366999999999997</v>
    </oc>
    <nc r="D76">
      <v>0</v>
    </nc>
  </rcc>
  <rcc rId="15646" sId="14" numFmtId="34">
    <oc r="C80">
      <v>790.38</v>
    </oc>
    <nc r="C80">
      <v>374.23899999999998</v>
    </nc>
  </rcc>
  <rcc rId="15647" sId="14" numFmtId="34">
    <oc r="D80">
      <v>760.27094</v>
    </oc>
    <nc r="D80">
      <v>13.5688</v>
    </nc>
  </rcc>
  <rcc rId="15648" sId="14" numFmtId="34">
    <oc r="C82">
      <v>1613.85</v>
    </oc>
    <nc r="C82">
      <v>1022.4</v>
    </nc>
  </rcc>
  <rcc rId="15649" sId="14" numFmtId="34">
    <oc r="D82">
      <v>1613.8062199999999</v>
    </oc>
    <nc r="D82">
      <v>85.2</v>
    </nc>
  </rcc>
  <rcc rId="15650" sId="14" numFmtId="34">
    <oc r="C89">
      <v>11.04</v>
    </oc>
    <nc r="C89">
      <v>10</v>
    </nc>
  </rcc>
  <rcc rId="15651" sId="14" numFmtId="34">
    <oc r="D89">
      <v>11.04</v>
    </oc>
    <nc r="D89">
      <v>2.25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16561" sId="3" numFmtId="4">
    <oc r="C6">
      <v>113620.3</v>
    </oc>
    <nc r="C6">
      <v>118798.5</v>
    </nc>
  </rcc>
  <rcc rId="16562" sId="3" numFmtId="4">
    <oc r="D6">
      <v>114228.22076</v>
    </oc>
    <nc r="D6">
      <v>6628.9963100000004</v>
    </nc>
  </rcc>
  <rcc rId="16563" sId="3" numFmtId="4">
    <oc r="C8">
      <v>1809.797</v>
    </oc>
    <nc r="C8">
      <v>1814.9069999999999</v>
    </nc>
  </rcc>
  <rcc rId="16564" sId="3" numFmtId="4">
    <oc r="D8">
      <v>2427.8040500000002</v>
    </oc>
    <nc r="D8">
      <v>202.06084000000001</v>
    </nc>
  </rcc>
  <rcc rId="16565" sId="3" numFmtId="4">
    <oc r="D9">
      <v>17.844999999999999</v>
    </oc>
    <nc r="D9">
      <v>1.37479</v>
    </nc>
  </rcc>
  <rcc rId="16566" sId="3" numFmtId="4">
    <oc r="D10">
      <v>3243.55447</v>
    </oc>
    <nc r="D10">
      <v>277.25846999999999</v>
    </nc>
  </rcc>
  <rcc rId="16567" sId="3" numFmtId="4">
    <oc r="D11">
      <v>-355.51742999999999</v>
    </oc>
    <nc r="D11">
      <v>-37.146000000000001</v>
    </nc>
  </rcc>
  <rrc rId="16568" sId="3" ref="A13:XFD13" action="insertRow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0" exp="area" ref3D="1" dr="$A$55:$XFD$55" dn="Z_61528DAC_5C4C_48F4_ADE2_8A724B05A086_.wvu.Rows" sId="3"/>
    <undo index="8" exp="area" ref3D="1" dr="$A$50:$XFD$51" dn="Z_61528DAC_5C4C_48F4_ADE2_8A724B05A086_.wvu.Rows" sId="3"/>
    <undo index="6" exp="area" ref3D="1" dr="$A$38:$XFD$38" dn="Z_61528DAC_5C4C_48F4_ADE2_8A724B05A086_.wvu.Rows" sId="3"/>
    <undo index="4" exp="area" ref3D="1" dr="$A$35:$XFD$35" dn="Z_61528DAC_5C4C_48F4_ADE2_8A724B05A086_.wvu.Rows" sId="3"/>
    <undo index="2" exp="area" ref3D="1" dr="$A$27:$XFD$30" dn="Z_61528DAC_5C4C_48F4_ADE2_8A724B05A086_.wvu.Rows" sId="3"/>
    <undo index="1" exp="area" ref3D="1" dr="$A$17:$XFD$1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16569" sId="3">
    <nc r="A13">
      <v>1050100000</v>
    </nc>
  </rcc>
  <rfmt sheetId="3" sqref="A13" start="0" length="2147483647">
    <dxf>
      <font>
        <b val="0"/>
      </font>
    </dxf>
  </rfmt>
  <rcc rId="16570" sId="3">
    <nc r="B13" t="inlineStr">
      <is>
        <t>Упрощенная система налогооблажения</t>
      </is>
    </nc>
  </rcc>
  <rfmt sheetId="3" sqref="B13" start="0" length="2147483647">
    <dxf>
      <font>
        <b val="0"/>
      </font>
    </dxf>
  </rfmt>
  <rcc rId="16571" sId="3" numFmtId="4">
    <nc r="C13">
      <v>1273.0999999999999</v>
    </nc>
  </rcc>
  <rfmt sheetId="3" sqref="C13:D13" start="0" length="2147483647">
    <dxf>
      <font>
        <b val="0"/>
      </font>
    </dxf>
  </rfmt>
  <rcc rId="16572" sId="3">
    <nc r="E13">
      <f>SUM(D13/C13*100)</f>
    </nc>
  </rcc>
  <rcc rId="16573" sId="3">
    <nc r="F13">
      <f>SUM(D13-C13)</f>
    </nc>
  </rcc>
  <rfmt sheetId="3" sqref="E13:F13" start="0" length="2147483647">
    <dxf>
      <font>
        <b val="0"/>
      </font>
    </dxf>
  </rfmt>
  <rcc rId="16574" sId="3">
    <oc r="C12">
      <f>SUM(C14:C16)</f>
    </oc>
    <nc r="C12">
      <f>SUM(C13:C16)</f>
    </nc>
  </rcc>
  <rcc rId="16575" sId="3">
    <oc r="D12">
      <f>SUM(D14:D16)</f>
    </oc>
    <nc r="D12">
      <f>SUM(D13:D16)</f>
    </nc>
  </rcc>
  <rcc rId="16576" sId="3" numFmtId="4">
    <oc r="C14">
      <v>10431.5</v>
    </oc>
    <nc r="C14">
      <v>9543</v>
    </nc>
  </rcc>
  <rcc rId="16577" sId="3" numFmtId="4">
    <oc r="D14">
      <v>10748.229160000001</v>
    </oc>
    <nc r="D14">
      <v>1155.6078600000001</v>
    </nc>
  </rcc>
  <rcc rId="16578" sId="3" numFmtId="4">
    <oc r="C15">
      <v>1429.652</v>
    </oc>
    <nc r="C15">
      <v>1248.4000000000001</v>
    </nc>
  </rcc>
  <rcc rId="16579" sId="3" numFmtId="4">
    <oc r="D15">
      <v>1360.8638699999999</v>
    </oc>
    <nc r="D15">
      <v>6.6696</v>
    </nc>
  </rcc>
  <rcc rId="16580" sId="3" numFmtId="4">
    <oc r="C16">
      <v>100</v>
    </oc>
    <nc r="C16">
      <v>200</v>
    </nc>
  </rcc>
  <rcc rId="16581" sId="3" numFmtId="4">
    <oc r="D16">
      <v>89.175340000000006</v>
    </oc>
    <nc r="D16">
      <v>9.5519999999999996</v>
    </nc>
  </rcc>
  <rcc rId="16582" sId="3" numFmtId="4">
    <oc r="C20">
      <v>2150</v>
    </oc>
    <nc r="C20">
      <v>2300</v>
    </nc>
  </rcc>
  <rcc rId="16583" sId="3" numFmtId="4">
    <oc r="D20">
      <v>2487.4724099999999</v>
    </oc>
    <nc r="D20">
      <v>103.65718</v>
    </nc>
  </rcc>
  <rcc rId="16584" sId="3" numFmtId="4">
    <oc r="C23">
      <v>1800</v>
    </oc>
    <nc r="C23">
      <v>1100</v>
    </nc>
  </rcc>
  <rcc rId="16585" sId="3" numFmtId="4">
    <oc r="D23">
      <v>1792.2174399999999</v>
    </oc>
    <nc r="D23">
      <v>151.76920999999999</v>
    </nc>
  </rcc>
  <rcc rId="16586" sId="3" numFmtId="4">
    <oc r="D25">
      <v>2010.6931199999999</v>
    </oc>
    <nc r="D25">
      <v>190.79982999999999</v>
    </nc>
  </rcc>
  <rcc rId="16587" sId="3" numFmtId="4">
    <oc r="D27">
      <v>752.25212999999997</v>
    </oc>
    <nc r="D27">
      <v>41.628749999999997</v>
    </nc>
  </rcc>
  <rcc rId="16588" sId="3" numFmtId="4">
    <oc r="D26">
      <v>11.5</v>
    </oc>
    <nc r="D26">
      <v>0</v>
    </nc>
  </rcc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cc rId="16589" sId="3" numFmtId="4">
    <oc r="C35">
      <v>24</v>
    </oc>
    <nc r="C35">
      <v>30</v>
    </nc>
  </rcc>
  <rcc rId="16590" sId="3" numFmtId="4">
    <oc r="D35">
      <v>23.658000000000001</v>
    </oc>
    <nc r="D35">
      <v>0</v>
    </nc>
  </rcc>
  <rcc rId="16591" sId="3" numFmtId="4">
    <oc r="C37">
      <v>8636.6</v>
    </oc>
    <nc r="C37">
      <v>9000</v>
    </nc>
  </rcc>
  <rcc rId="16592" sId="3" numFmtId="4">
    <oc r="D37">
      <v>10077.34743</v>
    </oc>
    <nc r="D37">
      <v>519.65660000000003</v>
    </nc>
  </rcc>
  <rcc rId="16593" sId="3" numFmtId="4">
    <oc r="C38">
      <v>230</v>
    </oc>
    <nc r="C38">
      <v>300</v>
    </nc>
  </rcc>
  <rcc rId="16594" sId="3" numFmtId="4">
    <oc r="D38">
      <v>274.78726999999998</v>
    </oc>
    <nc r="D38">
      <v>15.37557</v>
    </nc>
  </rcc>
  <rcc rId="16595" sId="3" numFmtId="4">
    <oc r="C40">
      <v>26</v>
    </oc>
    <nc r="C40">
      <v>70</v>
    </nc>
  </rcc>
  <rcc rId="16596" sId="3" numFmtId="4">
    <oc r="D40">
      <v>26.303000000000001</v>
    </oc>
    <nc r="D40">
      <v>0</v>
    </nc>
  </rcc>
  <rcc rId="16597" sId="3" numFmtId="4">
    <oc r="D41">
      <v>0.31791000000000003</v>
    </oc>
    <nc r="D41">
      <v>0</v>
    </nc>
  </rcc>
  <rcc rId="16598" sId="3" numFmtId="4">
    <oc r="C42">
      <v>695</v>
    </oc>
    <nc r="C42">
      <v>500</v>
    </nc>
  </rcc>
  <rcc rId="16599" sId="3" numFmtId="4">
    <oc r="D42">
      <v>761.26976999999999</v>
    </oc>
    <nc r="D42">
      <v>29.989170000000001</v>
    </nc>
  </rcc>
  <rcc rId="16600" sId="3" numFmtId="4">
    <oc r="C44">
      <v>450</v>
    </oc>
    <nc r="C44">
      <v>550</v>
    </nc>
  </rcc>
  <rcc rId="16601" sId="3" numFmtId="4">
    <oc r="D44">
      <v>494.53967</v>
    </oc>
    <nc r="D44">
      <v>0.41383999999999999</v>
    </nc>
  </rcc>
  <rcc rId="16602" sId="3" numFmtId="4">
    <oc r="C46">
      <v>1600</v>
    </oc>
    <nc r="C46">
      <v>84</v>
    </nc>
  </rcc>
  <rcc rId="16603" sId="3" numFmtId="4">
    <oc r="D46">
      <v>1640.2382500000001</v>
    </oc>
    <nc r="D46">
      <v>0</v>
    </nc>
  </rcc>
  <rcc rId="16604" sId="3" numFmtId="4">
    <oc r="C49">
      <v>300</v>
    </oc>
    <nc r="C49">
      <v>500</v>
    </nc>
  </rcc>
  <rcc rId="16605" sId="3" numFmtId="4">
    <oc r="D49">
      <v>305.55360000000002</v>
    </oc>
    <nc r="D49">
      <v>0</v>
    </nc>
  </rcc>
  <rcc rId="16606" sId="3" numFmtId="4">
    <oc r="D50">
      <v>3898.4941399999998</v>
    </oc>
    <nc r="D50">
      <v>50.903700000000001</v>
    </nc>
  </rcc>
  <rcc rId="16607" sId="3" numFmtId="4">
    <oc r="C54">
      <v>10</v>
    </oc>
    <nc r="C54">
      <v>0</v>
    </nc>
  </rcc>
  <rcc rId="16608" sId="3">
    <oc r="A55">
      <v>1160303001</v>
    </oc>
    <nc r="A55">
      <v>1160709000</v>
    </nc>
  </rcc>
  <rcc rId="16609" sId="3">
    <oc r="A54">
      <v>1160301001</v>
    </oc>
    <nc r="A54">
      <v>1160701000</v>
    </nc>
  </rcc>
  <rcc rId="16610" sId="3">
    <oc r="B55" t="inlineStr">
      <is>
        <t>Д.в. за административные правонарушения</t>
      </is>
    </oc>
    <nc r="B55" t="inlineStr">
      <is>
        <t>Иные штафы, неустойки, пени, уплаченные в соотв с законом или договорам</t>
      </is>
    </nc>
  </rcc>
  <rcc rId="16611" sId="3">
    <oc r="B54" t="inlineStr">
      <is>
        <t>Ден.взыс. за наруш. закон. о налогах и сборах</t>
      </is>
    </oc>
    <nc r="B54" t="inlineStr">
      <is>
        <t>Штрафы, неустойки,пени, уплаченные в случае просрочки исп поставщиком</t>
      </is>
    </nc>
  </rcc>
  <rcc rId="16612" sId="3" numFmtId="4">
    <oc r="D54">
      <v>7.9829999999999997</v>
    </oc>
    <nc r="D54">
      <v>0</v>
    </nc>
  </rcc>
  <rcc rId="16613" sId="3" numFmtId="4">
    <oc r="D55">
      <v>17.584350000000001</v>
    </oc>
    <nc r="D55">
      <v>15.121729999999999</v>
    </nc>
  </rcc>
  <rcc rId="16614" sId="3">
    <oc r="A56">
      <v>1160600000</v>
    </oc>
    <nc r="A56">
      <v>1161012000</v>
    </nc>
  </rcc>
  <rcc rId="16615" sId="3">
    <oc r="B56" t="inlineStr">
      <is>
        <t>Д. в. за наруш. закон. о применении ККМ</t>
      </is>
    </oc>
    <nc r="B56" t="inlineStr">
      <is>
        <t>Доходы от д.в. (штрафов),поступ в счет погашения задолж., образ до 1 января 2020 года</t>
      </is>
    </nc>
  </rcc>
  <rcc rId="16616" sId="3" numFmtId="4">
    <oc r="D56">
      <v>0</v>
    </oc>
    <nc r="D56">
      <v>97.959320000000005</v>
    </nc>
  </rcc>
  <rrc rId="16617" sId="3" ref="A57:XFD57" action="deleteRow">
    <undo index="5" exp="ref" v="1" dr="C57" r="C53" sId="3"/>
    <undo index="16" exp="area" ref3D="1" dr="$A$135:$XFD$137" dn="Z_B31C8DB7_3E78_4144_A6B5_8DE36DE63F0E_.wvu.Rows" sId="3"/>
    <undo index="14" exp="area" ref3D="1" dr="$A$107:$XFD$107" dn="Z_B31C8DB7_3E78_4144_A6B5_8DE36DE63F0E_.wvu.Rows" sId="3"/>
    <undo index="12" exp="area" ref3D="1" dr="$A$100:$XFD$100" dn="Z_B31C8DB7_3E78_4144_A6B5_8DE36DE63F0E_.wvu.Rows" sId="3"/>
    <undo index="10" exp="area" ref3D="1" dr="$A$83:$XFD$83" dn="Z_B31C8DB7_3E78_4144_A6B5_8DE36DE63F0E_.wvu.Rows" sId="3"/>
    <undo index="8" exp="area" ref3D="1" dr="$A$76:$XFD$76" dn="Z_B31C8DB7_3E78_4144_A6B5_8DE36DE63F0E_.wvu.Rows" sId="3"/>
    <undo index="22" exp="area" ref3D="1" dr="$A$140:$XFD$141" dn="Z_B30CE22D_C12F_4E12_8BB9_3AAE0A6991CC_.wvu.Rows" sId="3"/>
    <undo index="20" exp="area" ref3D="1" dr="$A$135:$XFD$137" dn="Z_B30CE22D_C12F_4E12_8BB9_3AAE0A6991CC_.wvu.Rows" sId="3"/>
    <undo index="18" exp="area" ref3D="1" dr="$A$100:$XFD$100" dn="Z_B30CE22D_C12F_4E12_8BB9_3AAE0A6991CC_.wvu.Rows" sId="3"/>
    <undo index="16" exp="area" ref3D="1" dr="$A$83:$XFD$83" dn="Z_B30CE22D_C12F_4E12_8BB9_3AAE0A6991CC_.wvu.Rows" sId="3"/>
    <undo index="14" exp="area" ref3D="1" dr="$A$76:$XFD$76" dn="Z_B30CE22D_C12F_4E12_8BB9_3AAE0A6991CC_.wvu.Rows" sId="3"/>
    <undo index="12" exp="area" ref3D="1" dr="$A$63:$XFD$63" dn="Z_B30CE22D_C12F_4E12_8BB9_3AAE0A6991CC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22" exp="area" ref3D="1" dr="$A$107:$XFD$107" dn="Z_A54C432C_6C68_4B53_A75C_446EB3A61B2B_.wvu.Rows" sId="3"/>
    <undo index="20" exp="area" ref3D="1" dr="$A$100:$XFD$100" dn="Z_A54C432C_6C68_4B53_A75C_446EB3A61B2B_.wvu.Rows" sId="3"/>
    <undo index="18" exp="area" ref3D="1" dr="$A$83:$XFD$83" dn="Z_A54C432C_6C68_4B53_A75C_446EB3A61B2B_.wvu.Rows" sId="3"/>
    <undo index="16" exp="area" ref3D="1" dr="$A$76:$XFD$76" dn="Z_A54C432C_6C68_4B53_A75C_446EB3A61B2B_.wvu.Rows" sId="3"/>
    <undo index="14" exp="area" ref3D="1" dr="$A$63:$XFD$63" dn="Z_A54C432C_6C68_4B53_A75C_446EB3A61B2B_.wvu.Rows" sId="3"/>
    <undo index="22" exp="area" ref3D="1" dr="$A$140:$XFD$141" dn="Z_61528DAC_5C4C_48F4_ADE2_8A724B05A086_.wvu.Rows" sId="3"/>
    <undo index="20" exp="area" ref3D="1" dr="$A$135:$XFD$137" dn="Z_61528DAC_5C4C_48F4_ADE2_8A724B05A086_.wvu.Rows" sId="3"/>
    <undo index="18" exp="area" ref3D="1" dr="$A$107:$XFD$107" dn="Z_61528DAC_5C4C_48F4_ADE2_8A724B05A086_.wvu.Rows" sId="3"/>
    <undo index="16" exp="area" ref3D="1" dr="$A$100:$XFD$100" dn="Z_61528DAC_5C4C_48F4_ADE2_8A724B05A086_.wvu.Rows" sId="3"/>
    <undo index="14" exp="area" ref3D="1" dr="$A$63:$XFD$63" dn="Z_61528DAC_5C4C_48F4_ADE2_8A724B05A086_.wvu.Rows" sId="3"/>
    <undo index="12" exp="area" ref3D="1" dr="$A$58:$XFD$58" dn="Z_61528DAC_5C4C_48F4_ADE2_8A724B05A086_.wvu.Rows" sId="3"/>
    <undo index="16" exp="area" ref3D="1" dr="$A$135:$XFD$137" dn="Z_5BFCA170_DEAE_4D2C_98A0_1E68B427AC01_.wvu.Rows" sId="3"/>
    <undo index="14" exp="area" ref3D="1" dr="$A$107:$XFD$107" dn="Z_5BFCA170_DEAE_4D2C_98A0_1E68B427AC01_.wvu.Rows" sId="3"/>
    <undo index="12" exp="area" ref3D="1" dr="$A$100:$XFD$100" dn="Z_5BFCA170_DEAE_4D2C_98A0_1E68B427AC01_.wvu.Rows" sId="3"/>
    <undo index="10" exp="area" ref3D="1" dr="$A$83:$XFD$83" dn="Z_5BFCA170_DEAE_4D2C_98A0_1E68B427AC01_.wvu.Rows" sId="3"/>
    <undo index="8" exp="area" ref3D="1" dr="$A$76:$XFD$76" dn="Z_5BFCA170_DEAE_4D2C_98A0_1E68B427AC01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5:$XFD$115" dn="Z_42584DC0_1D41_4C93_9B38_C388E7B8DAC4_.wvu.Rows" sId="3"/>
    <undo index="32" exp="area" ref3D="1" dr="$A$107:$XFD$107" dn="Z_42584DC0_1D41_4C93_9B38_C388E7B8DAC4_.wvu.Rows" sId="3"/>
    <undo index="30" exp="area" ref3D="1" dr="$A$103:$XFD$103" dn="Z_42584DC0_1D41_4C93_9B38_C388E7B8DAC4_.wvu.Rows" sId="3"/>
    <undo index="28" exp="area" ref3D="1" dr="$A$100:$XFD$100" dn="Z_42584DC0_1D41_4C93_9B38_C388E7B8DAC4_.wvu.Rows" sId="3"/>
    <undo index="26" exp="area" ref3D="1" dr="$A$94:$XFD$94" dn="Z_42584DC0_1D41_4C93_9B38_C388E7B8DAC4_.wvu.Rows" sId="3"/>
    <undo index="24" exp="area" ref3D="1" dr="$A$83:$XFD$83" dn="Z_42584DC0_1D41_4C93_9B38_C388E7B8DAC4_.wvu.Rows" sId="3"/>
    <undo index="22" exp="area" ref3D="1" dr="$A$76:$XFD$76" dn="Z_42584DC0_1D41_4C93_9B38_C388E7B8DAC4_.wvu.Rows" sId="3"/>
    <undo index="20" exp="area" ref3D="1" dr="$A$70:$XFD$72" dn="Z_42584DC0_1D41_4C93_9B38_C388E7B8DAC4_.wvu.Rows" sId="3"/>
    <undo index="18" exp="area" ref3D="1" dr="$A$68:$XFD$68" dn="Z_42584DC0_1D41_4C93_9B38_C388E7B8DAC4_.wvu.Rows" sId="3"/>
    <undo index="16" exp="area" ref3D="1" dr="$A$63:$XFD$63" dn="Z_42584DC0_1D41_4C93_9B38_C388E7B8DAC4_.wvu.Rows" sId="3"/>
    <undo index="16" exp="area" ref3D="1" dr="$A$135:$XFD$137" dn="Z_3DCB9AAA_F09C_4EA6_B992_F93E466D374A_.wvu.Rows" sId="3"/>
    <undo index="14" exp="area" ref3D="1" dr="$A$107:$XFD$107" dn="Z_3DCB9AAA_F09C_4EA6_B992_F93E466D374A_.wvu.Rows" sId="3"/>
    <undo index="12" exp="area" ref3D="1" dr="$A$100:$XFD$100" dn="Z_3DCB9AAA_F09C_4EA6_B992_F93E466D374A_.wvu.Rows" sId="3"/>
    <undo index="10" exp="area" ref3D="1" dr="$A$83:$XFD$83" dn="Z_3DCB9AAA_F09C_4EA6_B992_F93E466D374A_.wvu.Rows" sId="3"/>
    <undo index="8" exp="area" ref3D="1" dr="$A$76:$XFD$76" dn="Z_3DCB9AAA_F09C_4EA6_B992_F93E466D374A_.wvu.Rows" sId="3"/>
    <undo index="18" exp="area" ref3D="1" dr="$A$135:$XFD$137" dn="Z_1A52382B_3765_4E8C_903F_6B8919B7242E_.wvu.Rows" sId="3"/>
    <undo index="16" exp="area" ref3D="1" dr="$A$107:$XFD$107" dn="Z_1A52382B_3765_4E8C_903F_6B8919B7242E_.wvu.Rows" sId="3"/>
    <undo index="14" exp="area" ref3D="1" dr="$A$100:$XFD$100" dn="Z_1A52382B_3765_4E8C_903F_6B8919B7242E_.wvu.Rows" sId="3"/>
    <undo index="12" exp="area" ref3D="1" dr="$A$83:$XFD$83" dn="Z_1A52382B_3765_4E8C_903F_6B8919B7242E_.wvu.Rows" sId="3"/>
    <undo index="10" exp="area" ref3D="1" dr="$A$76:$XFD$76" dn="Z_1A52382B_3765_4E8C_903F_6B8919B7242E_.wvu.Rows" sId="3"/>
    <undo index="8" exp="area" ref3D="1" dr="$A$63:$XFD$63" dn="Z_1A52382B_3765_4E8C_903F_6B8919B7242E_.wvu.Rows" sId="3"/>
    <undo index="24" exp="area" ref3D="1" dr="$A$140:$XFD$141" dn="Z_1718F1EE_9F48_4DBE_9531_3B70F9C4A5DD_.wvu.Rows" sId="3"/>
    <undo index="22" exp="area" ref3D="1" dr="$A$135:$XFD$137" dn="Z_1718F1EE_9F48_4DBE_9531_3B70F9C4A5DD_.wvu.Rows" sId="3"/>
    <undo index="20" exp="area" ref3D="1" dr="$A$107:$XFD$107" dn="Z_1718F1EE_9F48_4DBE_9531_3B70F9C4A5DD_.wvu.Rows" sId="3"/>
    <undo index="18" exp="area" ref3D="1" dr="$A$100:$XFD$100" dn="Z_1718F1EE_9F48_4DBE_9531_3B70F9C4A5DD_.wvu.Rows" sId="3"/>
    <undo index="16" exp="area" ref3D="1" dr="$A$83:$XFD$83" dn="Z_1718F1EE_9F48_4DBE_9531_3B70F9C4A5DD_.wvu.Rows" sId="3"/>
    <undo index="14" exp="area" ref3D="1" dr="$A$76:$XFD$7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адм. правонаруш. в обл. рег. произ-ва спирта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30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8" sId="3" ref="A57:XFD57" action="deleteRow">
    <undo index="7" exp="ref" v="1" dr="C57" r="C53" sId="3"/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1160802001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нарушение оборота табачной продукции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9" sId="3" ref="A57:XFD57" action="deleteRow">
    <undo index="9" exp="ref" v="1" dr="C57" r="C53" sId="3"/>
    <undo index="16" exp="area" ref3D="1" dr="$A$133:$XFD$135" dn="Z_B31C8DB7_3E78_4144_A6B5_8DE36DE63F0E_.wvu.Rows" sId="3"/>
    <undo index="14" exp="area" ref3D="1" dr="$A$105:$XFD$105" dn="Z_B31C8DB7_3E78_4144_A6B5_8DE36DE63F0E_.wvu.Rows" sId="3"/>
    <undo index="12" exp="area" ref3D="1" dr="$A$98:$XFD$98" dn="Z_B31C8DB7_3E78_4144_A6B5_8DE36DE63F0E_.wvu.Rows" sId="3"/>
    <undo index="10" exp="area" ref3D="1" dr="$A$81:$XFD$81" dn="Z_B31C8DB7_3E78_4144_A6B5_8DE36DE63F0E_.wvu.Rows" sId="3"/>
    <undo index="8" exp="area" ref3D="1" dr="$A$74:$XFD$74" dn="Z_B31C8DB7_3E78_4144_A6B5_8DE36DE63F0E_.wvu.Rows" sId="3"/>
    <undo index="22" exp="area" ref3D="1" dr="$A$138:$XFD$139" dn="Z_B30CE22D_C12F_4E12_8BB9_3AAE0A6991CC_.wvu.Rows" sId="3"/>
    <undo index="20" exp="area" ref3D="1" dr="$A$133:$XFD$135" dn="Z_B30CE22D_C12F_4E12_8BB9_3AAE0A6991CC_.wvu.Rows" sId="3"/>
    <undo index="18" exp="area" ref3D="1" dr="$A$98:$XFD$98" dn="Z_B30CE22D_C12F_4E12_8BB9_3AAE0A6991CC_.wvu.Rows" sId="3"/>
    <undo index="16" exp="area" ref3D="1" dr="$A$81:$XFD$81" dn="Z_B30CE22D_C12F_4E12_8BB9_3AAE0A6991CC_.wvu.Rows" sId="3"/>
    <undo index="14" exp="area" ref3D="1" dr="$A$74:$XFD$74" dn="Z_B30CE22D_C12F_4E12_8BB9_3AAE0A6991CC_.wvu.Rows" sId="3"/>
    <undo index="12" exp="area" ref3D="1" dr="$A$61:$XFD$61" dn="Z_B30CE22D_C12F_4E12_8BB9_3AAE0A6991CC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22" exp="area" ref3D="1" dr="$A$105:$XFD$105" dn="Z_A54C432C_6C68_4B53_A75C_446EB3A61B2B_.wvu.Rows" sId="3"/>
    <undo index="20" exp="area" ref3D="1" dr="$A$98:$XFD$98" dn="Z_A54C432C_6C68_4B53_A75C_446EB3A61B2B_.wvu.Rows" sId="3"/>
    <undo index="18" exp="area" ref3D="1" dr="$A$81:$XFD$81" dn="Z_A54C432C_6C68_4B53_A75C_446EB3A61B2B_.wvu.Rows" sId="3"/>
    <undo index="16" exp="area" ref3D="1" dr="$A$74:$XFD$74" dn="Z_A54C432C_6C68_4B53_A75C_446EB3A61B2B_.wvu.Rows" sId="3"/>
    <undo index="14" exp="area" ref3D="1" dr="$A$61:$XFD$61" dn="Z_A54C432C_6C68_4B53_A75C_446EB3A61B2B_.wvu.Rows" sId="3"/>
    <undo index="22" exp="area" ref3D="1" dr="$A$138:$XFD$139" dn="Z_61528DAC_5C4C_48F4_ADE2_8A724B05A086_.wvu.Rows" sId="3"/>
    <undo index="20" exp="area" ref3D="1" dr="$A$133:$XFD$135" dn="Z_61528DAC_5C4C_48F4_ADE2_8A724B05A086_.wvu.Rows" sId="3"/>
    <undo index="18" exp="area" ref3D="1" dr="$A$105:$XFD$105" dn="Z_61528DAC_5C4C_48F4_ADE2_8A724B05A086_.wvu.Rows" sId="3"/>
    <undo index="16" exp="area" ref3D="1" dr="$A$98:$XFD$98" dn="Z_61528DAC_5C4C_48F4_ADE2_8A724B05A086_.wvu.Rows" sId="3"/>
    <undo index="14" exp="area" ref3D="1" dr="$A$61:$XFD$61" dn="Z_61528DAC_5C4C_48F4_ADE2_8A724B05A086_.wvu.Rows" sId="3"/>
    <undo index="16" exp="area" ref3D="1" dr="$A$133:$XFD$135" dn="Z_5BFCA170_DEAE_4D2C_98A0_1E68B427AC01_.wvu.Rows" sId="3"/>
    <undo index="14" exp="area" ref3D="1" dr="$A$105:$XFD$105" dn="Z_5BFCA170_DEAE_4D2C_98A0_1E68B427AC01_.wvu.Rows" sId="3"/>
    <undo index="12" exp="area" ref3D="1" dr="$A$98:$XFD$98" dn="Z_5BFCA170_DEAE_4D2C_98A0_1E68B427AC01_.wvu.Rows" sId="3"/>
    <undo index="10" exp="area" ref3D="1" dr="$A$81:$XFD$81" dn="Z_5BFCA170_DEAE_4D2C_98A0_1E68B427AC01_.wvu.Rows" sId="3"/>
    <undo index="8" exp="area" ref3D="1" dr="$A$74:$XFD$74" dn="Z_5BFCA170_DEAE_4D2C_98A0_1E68B427AC01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3:$XFD$113" dn="Z_42584DC0_1D41_4C93_9B38_C388E7B8DAC4_.wvu.Rows" sId="3"/>
    <undo index="32" exp="area" ref3D="1" dr="$A$105:$XFD$105" dn="Z_42584DC0_1D41_4C93_9B38_C388E7B8DAC4_.wvu.Rows" sId="3"/>
    <undo index="30" exp="area" ref3D="1" dr="$A$101:$XFD$101" dn="Z_42584DC0_1D41_4C93_9B38_C388E7B8DAC4_.wvu.Rows" sId="3"/>
    <undo index="28" exp="area" ref3D="1" dr="$A$98:$XFD$98" dn="Z_42584DC0_1D41_4C93_9B38_C388E7B8DAC4_.wvu.Rows" sId="3"/>
    <undo index="26" exp="area" ref3D="1" dr="$A$92:$XFD$92" dn="Z_42584DC0_1D41_4C93_9B38_C388E7B8DAC4_.wvu.Rows" sId="3"/>
    <undo index="24" exp="area" ref3D="1" dr="$A$81:$XFD$81" dn="Z_42584DC0_1D41_4C93_9B38_C388E7B8DAC4_.wvu.Rows" sId="3"/>
    <undo index="22" exp="area" ref3D="1" dr="$A$74:$XFD$74" dn="Z_42584DC0_1D41_4C93_9B38_C388E7B8DAC4_.wvu.Rows" sId="3"/>
    <undo index="20" exp="area" ref3D="1" dr="$A$68:$XFD$70" dn="Z_42584DC0_1D41_4C93_9B38_C388E7B8DAC4_.wvu.Rows" sId="3"/>
    <undo index="18" exp="area" ref3D="1" dr="$A$66:$XFD$66" dn="Z_42584DC0_1D41_4C93_9B38_C388E7B8DAC4_.wvu.Rows" sId="3"/>
    <undo index="16" exp="area" ref3D="1" dr="$A$61:$XFD$61" dn="Z_42584DC0_1D41_4C93_9B38_C388E7B8DAC4_.wvu.Rows" sId="3"/>
    <undo index="16" exp="area" ref3D="1" dr="$A$133:$XFD$135" dn="Z_3DCB9AAA_F09C_4EA6_B992_F93E466D374A_.wvu.Rows" sId="3"/>
    <undo index="14" exp="area" ref3D="1" dr="$A$105:$XFD$105" dn="Z_3DCB9AAA_F09C_4EA6_B992_F93E466D374A_.wvu.Rows" sId="3"/>
    <undo index="12" exp="area" ref3D="1" dr="$A$98:$XFD$98" dn="Z_3DCB9AAA_F09C_4EA6_B992_F93E466D374A_.wvu.Rows" sId="3"/>
    <undo index="10" exp="area" ref3D="1" dr="$A$81:$XFD$81" dn="Z_3DCB9AAA_F09C_4EA6_B992_F93E466D374A_.wvu.Rows" sId="3"/>
    <undo index="8" exp="area" ref3D="1" dr="$A$74:$XFD$74" dn="Z_3DCB9AAA_F09C_4EA6_B992_F93E466D374A_.wvu.Rows" sId="3"/>
    <undo index="18" exp="area" ref3D="1" dr="$A$133:$XFD$135" dn="Z_1A52382B_3765_4E8C_903F_6B8919B7242E_.wvu.Rows" sId="3"/>
    <undo index="16" exp="area" ref3D="1" dr="$A$105:$XFD$105" dn="Z_1A52382B_3765_4E8C_903F_6B8919B7242E_.wvu.Rows" sId="3"/>
    <undo index="14" exp="area" ref3D="1" dr="$A$98:$XFD$98" dn="Z_1A52382B_3765_4E8C_903F_6B8919B7242E_.wvu.Rows" sId="3"/>
    <undo index="12" exp="area" ref3D="1" dr="$A$81:$XFD$81" dn="Z_1A52382B_3765_4E8C_903F_6B8919B7242E_.wvu.Rows" sId="3"/>
    <undo index="10" exp="area" ref3D="1" dr="$A$74:$XFD$74" dn="Z_1A52382B_3765_4E8C_903F_6B8919B7242E_.wvu.Rows" sId="3"/>
    <undo index="8" exp="area" ref3D="1" dr="$A$61:$XFD$61" dn="Z_1A52382B_3765_4E8C_903F_6B8919B7242E_.wvu.Rows" sId="3"/>
    <undo index="24" exp="area" ref3D="1" dr="$A$138:$XFD$139" dn="Z_1718F1EE_9F48_4DBE_9531_3B70F9C4A5DD_.wvu.Rows" sId="3"/>
    <undo index="22" exp="area" ref3D="1" dr="$A$133:$XFD$135" dn="Z_1718F1EE_9F48_4DBE_9531_3B70F9C4A5DD_.wvu.Rows" sId="3"/>
    <undo index="20" exp="area" ref3D="1" dr="$A$105:$XFD$105" dn="Z_1718F1EE_9F48_4DBE_9531_3B70F9C4A5DD_.wvu.Rows" sId="3"/>
    <undo index="18" exp="area" ref3D="1" dr="$A$98:$XFD$98" dn="Z_1718F1EE_9F48_4DBE_9531_3B70F9C4A5DD_.wvu.Rows" sId="3"/>
    <undo index="16" exp="area" ref3D="1" dr="$A$81:$XFD$81" dn="Z_1718F1EE_9F48_4DBE_9531_3B70F9C4A5DD_.wvu.Rows" sId="3"/>
    <undo index="14" exp="area" ref3D="1" dr="$A$74:$XFD$7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1162105005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соверш. преступл, и возмещение ущерба имущ.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530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462.26582999999999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0" sId="3" ref="A57:XFD57" action="deleteRow">
    <undo index="11" exp="ref" v="1" dr="C57" r="C53" sId="3"/>
    <undo index="16" exp="area" ref3D="1" dr="$A$132:$XFD$134" dn="Z_B31C8DB7_3E78_4144_A6B5_8DE36DE63F0E_.wvu.Rows" sId="3"/>
    <undo index="14" exp="area" ref3D="1" dr="$A$104:$XFD$104" dn="Z_B31C8DB7_3E78_4144_A6B5_8DE36DE63F0E_.wvu.Rows" sId="3"/>
    <undo index="12" exp="area" ref3D="1" dr="$A$97:$XFD$97" dn="Z_B31C8DB7_3E78_4144_A6B5_8DE36DE63F0E_.wvu.Rows" sId="3"/>
    <undo index="10" exp="area" ref3D="1" dr="$A$80:$XFD$80" dn="Z_B31C8DB7_3E78_4144_A6B5_8DE36DE63F0E_.wvu.Rows" sId="3"/>
    <undo index="8" exp="area" ref3D="1" dr="$A$73:$XFD$73" dn="Z_B31C8DB7_3E78_4144_A6B5_8DE36DE63F0E_.wvu.Rows" sId="3"/>
    <undo index="22" exp="area" ref3D="1" dr="$A$137:$XFD$138" dn="Z_B30CE22D_C12F_4E12_8BB9_3AAE0A6991CC_.wvu.Rows" sId="3"/>
    <undo index="20" exp="area" ref3D="1" dr="$A$132:$XFD$134" dn="Z_B30CE22D_C12F_4E12_8BB9_3AAE0A6991CC_.wvu.Rows" sId="3"/>
    <undo index="18" exp="area" ref3D="1" dr="$A$97:$XFD$97" dn="Z_B30CE22D_C12F_4E12_8BB9_3AAE0A6991CC_.wvu.Rows" sId="3"/>
    <undo index="16" exp="area" ref3D="1" dr="$A$80:$XFD$80" dn="Z_B30CE22D_C12F_4E12_8BB9_3AAE0A6991CC_.wvu.Rows" sId="3"/>
    <undo index="14" exp="area" ref3D="1" dr="$A$73:$XFD$73" dn="Z_B30CE22D_C12F_4E12_8BB9_3AAE0A6991CC_.wvu.Rows" sId="3"/>
    <undo index="12" exp="area" ref3D="1" dr="$A$60:$XFD$60" dn="Z_B30CE22D_C12F_4E12_8BB9_3AAE0A6991CC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22" exp="area" ref3D="1" dr="$A$104:$XFD$104" dn="Z_A54C432C_6C68_4B53_A75C_446EB3A61B2B_.wvu.Rows" sId="3"/>
    <undo index="20" exp="area" ref3D="1" dr="$A$97:$XFD$97" dn="Z_A54C432C_6C68_4B53_A75C_446EB3A61B2B_.wvu.Rows" sId="3"/>
    <undo index="18" exp="area" ref3D="1" dr="$A$80:$XFD$80" dn="Z_A54C432C_6C68_4B53_A75C_446EB3A61B2B_.wvu.Rows" sId="3"/>
    <undo index="16" exp="area" ref3D="1" dr="$A$73:$XFD$73" dn="Z_A54C432C_6C68_4B53_A75C_446EB3A61B2B_.wvu.Rows" sId="3"/>
    <undo index="14" exp="area" ref3D="1" dr="$A$60:$XFD$60" dn="Z_A54C432C_6C68_4B53_A75C_446EB3A61B2B_.wvu.Rows" sId="3"/>
    <undo index="22" exp="area" ref3D="1" dr="$A$137:$XFD$138" dn="Z_61528DAC_5C4C_48F4_ADE2_8A724B05A086_.wvu.Rows" sId="3"/>
    <undo index="20" exp="area" ref3D="1" dr="$A$132:$XFD$134" dn="Z_61528DAC_5C4C_48F4_ADE2_8A724B05A086_.wvu.Rows" sId="3"/>
    <undo index="18" exp="area" ref3D="1" dr="$A$104:$XFD$104" dn="Z_61528DAC_5C4C_48F4_ADE2_8A724B05A086_.wvu.Rows" sId="3"/>
    <undo index="16" exp="area" ref3D="1" dr="$A$97:$XFD$97" dn="Z_61528DAC_5C4C_48F4_ADE2_8A724B05A086_.wvu.Rows" sId="3"/>
    <undo index="14" exp="area" ref3D="1" dr="$A$60:$XFD$60" dn="Z_61528DAC_5C4C_48F4_ADE2_8A724B05A086_.wvu.Rows" sId="3"/>
    <undo index="16" exp="area" ref3D="1" dr="$A$132:$XFD$134" dn="Z_5BFCA170_DEAE_4D2C_98A0_1E68B427AC01_.wvu.Rows" sId="3"/>
    <undo index="14" exp="area" ref3D="1" dr="$A$104:$XFD$104" dn="Z_5BFCA170_DEAE_4D2C_98A0_1E68B427AC01_.wvu.Rows" sId="3"/>
    <undo index="12" exp="area" ref3D="1" dr="$A$97:$XFD$97" dn="Z_5BFCA170_DEAE_4D2C_98A0_1E68B427AC01_.wvu.Rows" sId="3"/>
    <undo index="10" exp="area" ref3D="1" dr="$A$80:$XFD$80" dn="Z_5BFCA170_DEAE_4D2C_98A0_1E68B427AC01_.wvu.Rows" sId="3"/>
    <undo index="8" exp="area" ref3D="1" dr="$A$73:$XFD$73" dn="Z_5BFCA170_DEAE_4D2C_98A0_1E68B427AC01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12:$XFD$112" dn="Z_42584DC0_1D41_4C93_9B38_C388E7B8DAC4_.wvu.Rows" sId="3"/>
    <undo index="32" exp="area" ref3D="1" dr="$A$104:$XFD$104" dn="Z_42584DC0_1D41_4C93_9B38_C388E7B8DAC4_.wvu.Rows" sId="3"/>
    <undo index="30" exp="area" ref3D="1" dr="$A$100:$XFD$100" dn="Z_42584DC0_1D41_4C93_9B38_C388E7B8DAC4_.wvu.Rows" sId="3"/>
    <undo index="28" exp="area" ref3D="1" dr="$A$97:$XFD$97" dn="Z_42584DC0_1D41_4C93_9B38_C388E7B8DAC4_.wvu.Rows" sId="3"/>
    <undo index="26" exp="area" ref3D="1" dr="$A$91:$XFD$91" dn="Z_42584DC0_1D41_4C93_9B38_C388E7B8DAC4_.wvu.Rows" sId="3"/>
    <undo index="24" exp="area" ref3D="1" dr="$A$80:$XFD$80" dn="Z_42584DC0_1D41_4C93_9B38_C388E7B8DAC4_.wvu.Rows" sId="3"/>
    <undo index="22" exp="area" ref3D="1" dr="$A$73:$XFD$73" dn="Z_42584DC0_1D41_4C93_9B38_C388E7B8DAC4_.wvu.Rows" sId="3"/>
    <undo index="20" exp="area" ref3D="1" dr="$A$67:$XFD$69" dn="Z_42584DC0_1D41_4C93_9B38_C388E7B8DAC4_.wvu.Rows" sId="3"/>
    <undo index="18" exp="area" ref3D="1" dr="$A$65:$XFD$65" dn="Z_42584DC0_1D41_4C93_9B38_C388E7B8DAC4_.wvu.Rows" sId="3"/>
    <undo index="16" exp="area" ref3D="1" dr="$A$60:$XFD$60" dn="Z_42584DC0_1D41_4C93_9B38_C388E7B8DAC4_.wvu.Rows" sId="3"/>
    <undo index="16" exp="area" ref3D="1" dr="$A$132:$XFD$134" dn="Z_3DCB9AAA_F09C_4EA6_B992_F93E466D374A_.wvu.Rows" sId="3"/>
    <undo index="14" exp="area" ref3D="1" dr="$A$104:$XFD$104" dn="Z_3DCB9AAA_F09C_4EA6_B992_F93E466D374A_.wvu.Rows" sId="3"/>
    <undo index="12" exp="area" ref3D="1" dr="$A$97:$XFD$97" dn="Z_3DCB9AAA_F09C_4EA6_B992_F93E466D374A_.wvu.Rows" sId="3"/>
    <undo index="10" exp="area" ref3D="1" dr="$A$80:$XFD$80" dn="Z_3DCB9AAA_F09C_4EA6_B992_F93E466D374A_.wvu.Rows" sId="3"/>
    <undo index="8" exp="area" ref3D="1" dr="$A$73:$XFD$73" dn="Z_3DCB9AAA_F09C_4EA6_B992_F93E466D374A_.wvu.Rows" sId="3"/>
    <undo index="18" exp="area" ref3D="1" dr="$A$132:$XFD$134" dn="Z_1A52382B_3765_4E8C_903F_6B8919B7242E_.wvu.Rows" sId="3"/>
    <undo index="16" exp="area" ref3D="1" dr="$A$104:$XFD$104" dn="Z_1A52382B_3765_4E8C_903F_6B8919B7242E_.wvu.Rows" sId="3"/>
    <undo index="14" exp="area" ref3D="1" dr="$A$97:$XFD$97" dn="Z_1A52382B_3765_4E8C_903F_6B8919B7242E_.wvu.Rows" sId="3"/>
    <undo index="12" exp="area" ref3D="1" dr="$A$80:$XFD$80" dn="Z_1A52382B_3765_4E8C_903F_6B8919B7242E_.wvu.Rows" sId="3"/>
    <undo index="10" exp="area" ref3D="1" dr="$A$73:$XFD$73" dn="Z_1A52382B_3765_4E8C_903F_6B8919B7242E_.wvu.Rows" sId="3"/>
    <undo index="8" exp="area" ref3D="1" dr="$A$60:$XFD$60" dn="Z_1A52382B_3765_4E8C_903F_6B8919B7242E_.wvu.Rows" sId="3"/>
    <undo index="24" exp="area" ref3D="1" dr="$A$137:$XFD$138" dn="Z_1718F1EE_9F48_4DBE_9531_3B70F9C4A5DD_.wvu.Rows" sId="3"/>
    <undo index="22" exp="area" ref3D="1" dr="$A$132:$XFD$134" dn="Z_1718F1EE_9F48_4DBE_9531_3B70F9C4A5DD_.wvu.Rows" sId="3"/>
    <undo index="20" exp="area" ref3D="1" dr="$A$104:$XFD$104" dn="Z_1718F1EE_9F48_4DBE_9531_3B70F9C4A5DD_.wvu.Rows" sId="3"/>
    <undo index="18" exp="area" ref3D="1" dr="$A$97:$XFD$97" dn="Z_1718F1EE_9F48_4DBE_9531_3B70F9C4A5DD_.wvu.Rows" sId="3"/>
    <undo index="16" exp="area" ref3D="1" dr="$A$80:$XFD$80" dn="Z_1718F1EE_9F48_4DBE_9531_3B70F9C4A5DD_.wvu.Rows" sId="3"/>
    <undo index="14" exp="area" ref3D="1" dr="$A$73:$XFD$73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закон. Об охране животного мира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1" sId="3" ref="A57:XFD57" action="deleteRow">
    <undo index="13" exp="ref" v="1" dr="C57" r="C53" sId="3"/>
    <undo index="16" exp="area" ref3D="1" dr="$A$131:$XFD$133" dn="Z_B31C8DB7_3E78_4144_A6B5_8DE36DE63F0E_.wvu.Rows" sId="3"/>
    <undo index="14" exp="area" ref3D="1" dr="$A$103:$XFD$103" dn="Z_B31C8DB7_3E78_4144_A6B5_8DE36DE63F0E_.wvu.Rows" sId="3"/>
    <undo index="12" exp="area" ref3D="1" dr="$A$96:$XFD$96" dn="Z_B31C8DB7_3E78_4144_A6B5_8DE36DE63F0E_.wvu.Rows" sId="3"/>
    <undo index="10" exp="area" ref3D="1" dr="$A$79:$XFD$79" dn="Z_B31C8DB7_3E78_4144_A6B5_8DE36DE63F0E_.wvu.Rows" sId="3"/>
    <undo index="8" exp="area" ref3D="1" dr="$A$72:$XFD$72" dn="Z_B31C8DB7_3E78_4144_A6B5_8DE36DE63F0E_.wvu.Rows" sId="3"/>
    <undo index="22" exp="area" ref3D="1" dr="$A$136:$XFD$137" dn="Z_B30CE22D_C12F_4E12_8BB9_3AAE0A6991CC_.wvu.Rows" sId="3"/>
    <undo index="20" exp="area" ref3D="1" dr="$A$131:$XFD$133" dn="Z_B30CE22D_C12F_4E12_8BB9_3AAE0A6991CC_.wvu.Rows" sId="3"/>
    <undo index="18" exp="area" ref3D="1" dr="$A$96:$XFD$96" dn="Z_B30CE22D_C12F_4E12_8BB9_3AAE0A6991CC_.wvu.Rows" sId="3"/>
    <undo index="16" exp="area" ref3D="1" dr="$A$79:$XFD$79" dn="Z_B30CE22D_C12F_4E12_8BB9_3AAE0A6991CC_.wvu.Rows" sId="3"/>
    <undo index="14" exp="area" ref3D="1" dr="$A$72:$XFD$72" dn="Z_B30CE22D_C12F_4E12_8BB9_3AAE0A6991CC_.wvu.Rows" sId="3"/>
    <undo index="12" exp="area" ref3D="1" dr="$A$59:$XFD$59" dn="Z_B30CE22D_C12F_4E12_8BB9_3AAE0A6991CC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22" exp="area" ref3D="1" dr="$A$103:$XFD$103" dn="Z_A54C432C_6C68_4B53_A75C_446EB3A61B2B_.wvu.Rows" sId="3"/>
    <undo index="20" exp="area" ref3D="1" dr="$A$96:$XFD$96" dn="Z_A54C432C_6C68_4B53_A75C_446EB3A61B2B_.wvu.Rows" sId="3"/>
    <undo index="18" exp="area" ref3D="1" dr="$A$79:$XFD$79" dn="Z_A54C432C_6C68_4B53_A75C_446EB3A61B2B_.wvu.Rows" sId="3"/>
    <undo index="16" exp="area" ref3D="1" dr="$A$72:$XFD$72" dn="Z_A54C432C_6C68_4B53_A75C_446EB3A61B2B_.wvu.Rows" sId="3"/>
    <undo index="14" exp="area" ref3D="1" dr="$A$59:$XFD$59" dn="Z_A54C432C_6C68_4B53_A75C_446EB3A61B2B_.wvu.Rows" sId="3"/>
    <undo index="22" exp="area" ref3D="1" dr="$A$136:$XFD$137" dn="Z_61528DAC_5C4C_48F4_ADE2_8A724B05A086_.wvu.Rows" sId="3"/>
    <undo index="20" exp="area" ref3D="1" dr="$A$131:$XFD$133" dn="Z_61528DAC_5C4C_48F4_ADE2_8A724B05A086_.wvu.Rows" sId="3"/>
    <undo index="18" exp="area" ref3D="1" dr="$A$103:$XFD$103" dn="Z_61528DAC_5C4C_48F4_ADE2_8A724B05A086_.wvu.Rows" sId="3"/>
    <undo index="16" exp="area" ref3D="1" dr="$A$96:$XFD$96" dn="Z_61528DAC_5C4C_48F4_ADE2_8A724B05A086_.wvu.Rows" sId="3"/>
    <undo index="14" exp="area" ref3D="1" dr="$A$59:$XFD$59" dn="Z_61528DAC_5C4C_48F4_ADE2_8A724B05A086_.wvu.Rows" sId="3"/>
    <undo index="16" exp="area" ref3D="1" dr="$A$131:$XFD$133" dn="Z_5BFCA170_DEAE_4D2C_98A0_1E68B427AC01_.wvu.Rows" sId="3"/>
    <undo index="14" exp="area" ref3D="1" dr="$A$103:$XFD$103" dn="Z_5BFCA170_DEAE_4D2C_98A0_1E68B427AC01_.wvu.Rows" sId="3"/>
    <undo index="12" exp="area" ref3D="1" dr="$A$96:$XFD$96" dn="Z_5BFCA170_DEAE_4D2C_98A0_1E68B427AC01_.wvu.Rows" sId="3"/>
    <undo index="10" exp="area" ref3D="1" dr="$A$79:$XFD$79" dn="Z_5BFCA170_DEAE_4D2C_98A0_1E68B427AC01_.wvu.Rows" sId="3"/>
    <undo index="8" exp="area" ref3D="1" dr="$A$72:$XFD$72" dn="Z_5BFCA170_DEAE_4D2C_98A0_1E68B427AC01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11:$XFD$111" dn="Z_42584DC0_1D41_4C93_9B38_C388E7B8DAC4_.wvu.Rows" sId="3"/>
    <undo index="32" exp="area" ref3D="1" dr="$A$103:$XFD$103" dn="Z_42584DC0_1D41_4C93_9B38_C388E7B8DAC4_.wvu.Rows" sId="3"/>
    <undo index="30" exp="area" ref3D="1" dr="$A$99:$XFD$99" dn="Z_42584DC0_1D41_4C93_9B38_C388E7B8DAC4_.wvu.Rows" sId="3"/>
    <undo index="28" exp="area" ref3D="1" dr="$A$96:$XFD$96" dn="Z_42584DC0_1D41_4C93_9B38_C388E7B8DAC4_.wvu.Rows" sId="3"/>
    <undo index="26" exp="area" ref3D="1" dr="$A$90:$XFD$90" dn="Z_42584DC0_1D41_4C93_9B38_C388E7B8DAC4_.wvu.Rows" sId="3"/>
    <undo index="24" exp="area" ref3D="1" dr="$A$79:$XFD$79" dn="Z_42584DC0_1D41_4C93_9B38_C388E7B8DAC4_.wvu.Rows" sId="3"/>
    <undo index="22" exp="area" ref3D="1" dr="$A$72:$XFD$72" dn="Z_42584DC0_1D41_4C93_9B38_C388E7B8DAC4_.wvu.Rows" sId="3"/>
    <undo index="20" exp="area" ref3D="1" dr="$A$66:$XFD$68" dn="Z_42584DC0_1D41_4C93_9B38_C388E7B8DAC4_.wvu.Rows" sId="3"/>
    <undo index="18" exp="area" ref3D="1" dr="$A$64:$XFD$64" dn="Z_42584DC0_1D41_4C93_9B38_C388E7B8DAC4_.wvu.Rows" sId="3"/>
    <undo index="16" exp="area" ref3D="1" dr="$A$59:$XFD$59" dn="Z_42584DC0_1D41_4C93_9B38_C388E7B8DAC4_.wvu.Rows" sId="3"/>
    <undo index="16" exp="area" ref3D="1" dr="$A$131:$XFD$133" dn="Z_3DCB9AAA_F09C_4EA6_B992_F93E466D374A_.wvu.Rows" sId="3"/>
    <undo index="14" exp="area" ref3D="1" dr="$A$103:$XFD$103" dn="Z_3DCB9AAA_F09C_4EA6_B992_F93E466D374A_.wvu.Rows" sId="3"/>
    <undo index="12" exp="area" ref3D="1" dr="$A$96:$XFD$96" dn="Z_3DCB9AAA_F09C_4EA6_B992_F93E466D374A_.wvu.Rows" sId="3"/>
    <undo index="10" exp="area" ref3D="1" dr="$A$79:$XFD$79" dn="Z_3DCB9AAA_F09C_4EA6_B992_F93E466D374A_.wvu.Rows" sId="3"/>
    <undo index="8" exp="area" ref3D="1" dr="$A$72:$XFD$72" dn="Z_3DCB9AAA_F09C_4EA6_B992_F93E466D374A_.wvu.Rows" sId="3"/>
    <undo index="18" exp="area" ref3D="1" dr="$A$131:$XFD$133" dn="Z_1A52382B_3765_4E8C_903F_6B8919B7242E_.wvu.Rows" sId="3"/>
    <undo index="16" exp="area" ref3D="1" dr="$A$103:$XFD$103" dn="Z_1A52382B_3765_4E8C_903F_6B8919B7242E_.wvu.Rows" sId="3"/>
    <undo index="14" exp="area" ref3D="1" dr="$A$96:$XFD$96" dn="Z_1A52382B_3765_4E8C_903F_6B8919B7242E_.wvu.Rows" sId="3"/>
    <undo index="12" exp="area" ref3D="1" dr="$A$79:$XFD$79" dn="Z_1A52382B_3765_4E8C_903F_6B8919B7242E_.wvu.Rows" sId="3"/>
    <undo index="10" exp="area" ref3D="1" dr="$A$72:$XFD$72" dn="Z_1A52382B_3765_4E8C_903F_6B8919B7242E_.wvu.Rows" sId="3"/>
    <undo index="8" exp="area" ref3D="1" dr="$A$59:$XFD$59" dn="Z_1A52382B_3765_4E8C_903F_6B8919B7242E_.wvu.Rows" sId="3"/>
    <undo index="24" exp="area" ref3D="1" dr="$A$136:$XFD$137" dn="Z_1718F1EE_9F48_4DBE_9531_3B70F9C4A5DD_.wvu.Rows" sId="3"/>
    <undo index="22" exp="area" ref3D="1" dr="$A$131:$XFD$133" dn="Z_1718F1EE_9F48_4DBE_9531_3B70F9C4A5DD_.wvu.Rows" sId="3"/>
    <undo index="20" exp="area" ref3D="1" dr="$A$103:$XFD$103" dn="Z_1718F1EE_9F48_4DBE_9531_3B70F9C4A5DD_.wvu.Rows" sId="3"/>
    <undo index="18" exp="area" ref3D="1" dr="$A$96:$XFD$96" dn="Z_1718F1EE_9F48_4DBE_9531_3B70F9C4A5DD_.wvu.Rows" sId="3"/>
    <undo index="16" exp="area" ref3D="1" dr="$A$79:$XFD$79" dn="Z_1718F1EE_9F48_4DBE_9531_3B70F9C4A5DD_.wvu.Rows" sId="3"/>
    <undo index="14" exp="area" ref3D="1" dr="$A$72:$XFD$72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1162505001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наруш.  Земельн закон.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2" sId="3" ref="A57:XFD57" action="deleteRow">
    <undo index="15" exp="ref" v="1" dr="C57" r="C53" sId="3"/>
    <undo index="16" exp="area" ref3D="1" dr="$A$130:$XFD$132" dn="Z_B31C8DB7_3E78_4144_A6B5_8DE36DE63F0E_.wvu.Rows" sId="3"/>
    <undo index="14" exp="area" ref3D="1" dr="$A$102:$XFD$102" dn="Z_B31C8DB7_3E78_4144_A6B5_8DE36DE63F0E_.wvu.Rows" sId="3"/>
    <undo index="12" exp="area" ref3D="1" dr="$A$95:$XFD$95" dn="Z_B31C8DB7_3E78_4144_A6B5_8DE36DE63F0E_.wvu.Rows" sId="3"/>
    <undo index="10" exp="area" ref3D="1" dr="$A$78:$XFD$78" dn="Z_B31C8DB7_3E78_4144_A6B5_8DE36DE63F0E_.wvu.Rows" sId="3"/>
    <undo index="8" exp="area" ref3D="1" dr="$A$71:$XFD$71" dn="Z_B31C8DB7_3E78_4144_A6B5_8DE36DE63F0E_.wvu.Rows" sId="3"/>
    <undo index="22" exp="area" ref3D="1" dr="$A$135:$XFD$136" dn="Z_B30CE22D_C12F_4E12_8BB9_3AAE0A6991CC_.wvu.Rows" sId="3"/>
    <undo index="20" exp="area" ref3D="1" dr="$A$130:$XFD$132" dn="Z_B30CE22D_C12F_4E12_8BB9_3AAE0A6991CC_.wvu.Rows" sId="3"/>
    <undo index="18" exp="area" ref3D="1" dr="$A$95:$XFD$95" dn="Z_B30CE22D_C12F_4E12_8BB9_3AAE0A6991CC_.wvu.Rows" sId="3"/>
    <undo index="16" exp="area" ref3D="1" dr="$A$78:$XFD$78" dn="Z_B30CE22D_C12F_4E12_8BB9_3AAE0A6991CC_.wvu.Rows" sId="3"/>
    <undo index="14" exp="area" ref3D="1" dr="$A$71:$XFD$71" dn="Z_B30CE22D_C12F_4E12_8BB9_3AAE0A6991CC_.wvu.Rows" sId="3"/>
    <undo index="12" exp="area" ref3D="1" dr="$A$58:$XFD$58" dn="Z_B30CE22D_C12F_4E12_8BB9_3AAE0A6991CC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22" exp="area" ref3D="1" dr="$A$102:$XFD$102" dn="Z_A54C432C_6C68_4B53_A75C_446EB3A61B2B_.wvu.Rows" sId="3"/>
    <undo index="20" exp="area" ref3D="1" dr="$A$95:$XFD$95" dn="Z_A54C432C_6C68_4B53_A75C_446EB3A61B2B_.wvu.Rows" sId="3"/>
    <undo index="18" exp="area" ref3D="1" dr="$A$78:$XFD$78" dn="Z_A54C432C_6C68_4B53_A75C_446EB3A61B2B_.wvu.Rows" sId="3"/>
    <undo index="16" exp="area" ref3D="1" dr="$A$71:$XFD$71" dn="Z_A54C432C_6C68_4B53_A75C_446EB3A61B2B_.wvu.Rows" sId="3"/>
    <undo index="14" exp="area" ref3D="1" dr="$A$58:$XFD$58" dn="Z_A54C432C_6C68_4B53_A75C_446EB3A61B2B_.wvu.Rows" sId="3"/>
    <undo index="22" exp="area" ref3D="1" dr="$A$135:$XFD$136" dn="Z_61528DAC_5C4C_48F4_ADE2_8A724B05A086_.wvu.Rows" sId="3"/>
    <undo index="20" exp="area" ref3D="1" dr="$A$130:$XFD$132" dn="Z_61528DAC_5C4C_48F4_ADE2_8A724B05A086_.wvu.Rows" sId="3"/>
    <undo index="18" exp="area" ref3D="1" dr="$A$102:$XFD$102" dn="Z_61528DAC_5C4C_48F4_ADE2_8A724B05A086_.wvu.Rows" sId="3"/>
    <undo index="16" exp="area" ref3D="1" dr="$A$95:$XFD$95" dn="Z_61528DAC_5C4C_48F4_ADE2_8A724B05A086_.wvu.Rows" sId="3"/>
    <undo index="14" exp="area" ref3D="1" dr="$A$58:$XFD$58" dn="Z_61528DAC_5C4C_48F4_ADE2_8A724B05A086_.wvu.Rows" sId="3"/>
    <undo index="16" exp="area" ref3D="1" dr="$A$130:$XFD$132" dn="Z_5BFCA170_DEAE_4D2C_98A0_1E68B427AC01_.wvu.Rows" sId="3"/>
    <undo index="14" exp="area" ref3D="1" dr="$A$102:$XFD$102" dn="Z_5BFCA170_DEAE_4D2C_98A0_1E68B427AC01_.wvu.Rows" sId="3"/>
    <undo index="12" exp="area" ref3D="1" dr="$A$95:$XFD$95" dn="Z_5BFCA170_DEAE_4D2C_98A0_1E68B427AC01_.wvu.Rows" sId="3"/>
    <undo index="10" exp="area" ref3D="1" dr="$A$78:$XFD$78" dn="Z_5BFCA170_DEAE_4D2C_98A0_1E68B427AC01_.wvu.Rows" sId="3"/>
    <undo index="8" exp="area" ref3D="1" dr="$A$71:$XFD$71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2:$XFD$102" dn="Z_42584DC0_1D41_4C93_9B38_C388E7B8DAC4_.wvu.Rows" sId="3"/>
    <undo index="30" exp="area" ref3D="1" dr="$A$98:$XFD$98" dn="Z_42584DC0_1D41_4C93_9B38_C388E7B8DAC4_.wvu.Rows" sId="3"/>
    <undo index="28" exp="area" ref3D="1" dr="$A$95:$XFD$95" dn="Z_42584DC0_1D41_4C93_9B38_C388E7B8DAC4_.wvu.Rows" sId="3"/>
    <undo index="26" exp="area" ref3D="1" dr="$A$89:$XFD$89" dn="Z_42584DC0_1D41_4C93_9B38_C388E7B8DAC4_.wvu.Rows" sId="3"/>
    <undo index="24" exp="area" ref3D="1" dr="$A$78:$XFD$78" dn="Z_42584DC0_1D41_4C93_9B38_C388E7B8DAC4_.wvu.Rows" sId="3"/>
    <undo index="22" exp="area" ref3D="1" dr="$A$71:$XFD$71" dn="Z_42584DC0_1D41_4C93_9B38_C388E7B8DAC4_.wvu.Rows" sId="3"/>
    <undo index="20" exp="area" ref3D="1" dr="$A$65:$XFD$67" dn="Z_42584DC0_1D41_4C93_9B38_C388E7B8DAC4_.wvu.Rows" sId="3"/>
    <undo index="18" exp="area" ref3D="1" dr="$A$63:$XFD$63" dn="Z_42584DC0_1D41_4C93_9B38_C388E7B8DAC4_.wvu.Rows" sId="3"/>
    <undo index="16" exp="area" ref3D="1" dr="$A$58:$XFD$58" dn="Z_42584DC0_1D41_4C93_9B38_C388E7B8DAC4_.wvu.Rows" sId="3"/>
    <undo index="16" exp="area" ref3D="1" dr="$A$130:$XFD$132" dn="Z_3DCB9AAA_F09C_4EA6_B992_F93E466D374A_.wvu.Rows" sId="3"/>
    <undo index="14" exp="area" ref3D="1" dr="$A$102:$XFD$102" dn="Z_3DCB9AAA_F09C_4EA6_B992_F93E466D374A_.wvu.Rows" sId="3"/>
    <undo index="12" exp="area" ref3D="1" dr="$A$95:$XFD$95" dn="Z_3DCB9AAA_F09C_4EA6_B992_F93E466D374A_.wvu.Rows" sId="3"/>
    <undo index="10" exp="area" ref3D="1" dr="$A$78:$XFD$78" dn="Z_3DCB9AAA_F09C_4EA6_B992_F93E466D374A_.wvu.Rows" sId="3"/>
    <undo index="8" exp="area" ref3D="1" dr="$A$71:$XFD$71" dn="Z_3DCB9AAA_F09C_4EA6_B992_F93E466D374A_.wvu.Rows" sId="3"/>
    <undo index="18" exp="area" ref3D="1" dr="$A$130:$XFD$132" dn="Z_1A52382B_3765_4E8C_903F_6B8919B7242E_.wvu.Rows" sId="3"/>
    <undo index="16" exp="area" ref3D="1" dr="$A$102:$XFD$102" dn="Z_1A52382B_3765_4E8C_903F_6B8919B7242E_.wvu.Rows" sId="3"/>
    <undo index="14" exp="area" ref3D="1" dr="$A$95:$XFD$95" dn="Z_1A52382B_3765_4E8C_903F_6B8919B7242E_.wvu.Rows" sId="3"/>
    <undo index="12" exp="area" ref3D="1" dr="$A$78:$XFD$78" dn="Z_1A52382B_3765_4E8C_903F_6B8919B7242E_.wvu.Rows" sId="3"/>
    <undo index="10" exp="area" ref3D="1" dr="$A$71:$XFD$71" dn="Z_1A52382B_3765_4E8C_903F_6B8919B7242E_.wvu.Rows" sId="3"/>
    <undo index="8" exp="area" ref3D="1" dr="$A$58:$XFD$58" dn="Z_1A52382B_3765_4E8C_903F_6B8919B7242E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2:$XFD$102" dn="Z_1718F1EE_9F48_4DBE_9531_3B70F9C4A5DD_.wvu.Rows" sId="3"/>
    <undo index="18" exp="area" ref3D="1" dr="$A$95:$XFD$95" dn="Z_1718F1EE_9F48_4DBE_9531_3B70F9C4A5DD_.wvu.Rows" sId="3"/>
    <undo index="16" exp="area" ref3D="1" dr="$A$78:$XFD$78" dn="Z_1718F1EE_9F48_4DBE_9531_3B70F9C4A5DD_.wvu.Rows" sId="3"/>
    <undo index="14" exp="area" ref3D="1" dr="$A$71:$XFD$71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1162506001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Земельного законодательства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170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166.81963999999999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3" sId="3" ref="A57:XFD57" action="deleteRow">
    <undo index="17" exp="ref" v="1" dr="C57" r="C53" sId="3"/>
    <undo index="16" exp="area" ref3D="1" dr="$A$129:$XFD$131" dn="Z_B31C8DB7_3E78_4144_A6B5_8DE36DE63F0E_.wvu.Rows" sId="3"/>
    <undo index="14" exp="area" ref3D="1" dr="$A$101:$XFD$101" dn="Z_B31C8DB7_3E78_4144_A6B5_8DE36DE63F0E_.wvu.Rows" sId="3"/>
    <undo index="12" exp="area" ref3D="1" dr="$A$94:$XFD$94" dn="Z_B31C8DB7_3E78_4144_A6B5_8DE36DE63F0E_.wvu.Rows" sId="3"/>
    <undo index="10" exp="area" ref3D="1" dr="$A$77:$XFD$77" dn="Z_B31C8DB7_3E78_4144_A6B5_8DE36DE63F0E_.wvu.Rows" sId="3"/>
    <undo index="8" exp="area" ref3D="1" dr="$A$70:$XFD$70" dn="Z_B31C8DB7_3E78_4144_A6B5_8DE36DE63F0E_.wvu.Rows" sId="3"/>
    <undo index="22" exp="area" ref3D="1" dr="$A$134:$XFD$135" dn="Z_B30CE22D_C12F_4E12_8BB9_3AAE0A6991CC_.wvu.Rows" sId="3"/>
    <undo index="20" exp="area" ref3D="1" dr="$A$129:$XFD$131" dn="Z_B30CE22D_C12F_4E12_8BB9_3AAE0A6991CC_.wvu.Rows" sId="3"/>
    <undo index="18" exp="area" ref3D="1" dr="$A$94:$XFD$94" dn="Z_B30CE22D_C12F_4E12_8BB9_3AAE0A6991CC_.wvu.Rows" sId="3"/>
    <undo index="16" exp="area" ref3D="1" dr="$A$77:$XFD$77" dn="Z_B30CE22D_C12F_4E12_8BB9_3AAE0A6991CC_.wvu.Rows" sId="3"/>
    <undo index="14" exp="area" ref3D="1" dr="$A$70:$XFD$70" dn="Z_B30CE22D_C12F_4E12_8BB9_3AAE0A6991CC_.wvu.Rows" sId="3"/>
    <undo index="12" exp="area" ref3D="1" dr="$A$57:$XFD$57" dn="Z_B30CE22D_C12F_4E12_8BB9_3AAE0A6991CC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22" exp="area" ref3D="1" dr="$A$101:$XFD$101" dn="Z_A54C432C_6C68_4B53_A75C_446EB3A61B2B_.wvu.Rows" sId="3"/>
    <undo index="20" exp="area" ref3D="1" dr="$A$94:$XFD$94" dn="Z_A54C432C_6C68_4B53_A75C_446EB3A61B2B_.wvu.Rows" sId="3"/>
    <undo index="18" exp="area" ref3D="1" dr="$A$77:$XFD$77" dn="Z_A54C432C_6C68_4B53_A75C_446EB3A61B2B_.wvu.Rows" sId="3"/>
    <undo index="16" exp="area" ref3D="1" dr="$A$70:$XFD$70" dn="Z_A54C432C_6C68_4B53_A75C_446EB3A61B2B_.wvu.Rows" sId="3"/>
    <undo index="14" exp="area" ref3D="1" dr="$A$57:$XFD$57" dn="Z_A54C432C_6C68_4B53_A75C_446EB3A61B2B_.wvu.Rows" sId="3"/>
    <undo index="22" exp="area" ref3D="1" dr="$A$134:$XFD$135" dn="Z_61528DAC_5C4C_48F4_ADE2_8A724B05A086_.wvu.Rows" sId="3"/>
    <undo index="20" exp="area" ref3D="1" dr="$A$129:$XFD$131" dn="Z_61528DAC_5C4C_48F4_ADE2_8A724B05A086_.wvu.Rows" sId="3"/>
    <undo index="18" exp="area" ref3D="1" dr="$A$101:$XFD$101" dn="Z_61528DAC_5C4C_48F4_ADE2_8A724B05A086_.wvu.Rows" sId="3"/>
    <undo index="16" exp="area" ref3D="1" dr="$A$94:$XFD$94" dn="Z_61528DAC_5C4C_48F4_ADE2_8A724B05A086_.wvu.Rows" sId="3"/>
    <undo index="14" exp="area" ref3D="1" dr="$A$57:$XFD$57" dn="Z_61528DAC_5C4C_48F4_ADE2_8A724B05A086_.wvu.Rows" sId="3"/>
    <undo index="16" exp="area" ref3D="1" dr="$A$129:$XFD$131" dn="Z_5BFCA170_DEAE_4D2C_98A0_1E68B427AC01_.wvu.Rows" sId="3"/>
    <undo index="14" exp="area" ref3D="1" dr="$A$101:$XFD$101" dn="Z_5BFCA170_DEAE_4D2C_98A0_1E68B427AC01_.wvu.Rows" sId="3"/>
    <undo index="12" exp="area" ref3D="1" dr="$A$94:$XFD$94" dn="Z_5BFCA170_DEAE_4D2C_98A0_1E68B427AC01_.wvu.Rows" sId="3"/>
    <undo index="10" exp="area" ref3D="1" dr="$A$77:$XFD$77" dn="Z_5BFCA170_DEAE_4D2C_98A0_1E68B427AC01_.wvu.Rows" sId="3"/>
    <undo index="8" exp="area" ref3D="1" dr="$A$70:$XFD$70" dn="Z_5BFCA170_DEAE_4D2C_98A0_1E68B427AC01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9:$XFD$109" dn="Z_42584DC0_1D41_4C93_9B38_C388E7B8DAC4_.wvu.Rows" sId="3"/>
    <undo index="32" exp="area" ref3D="1" dr="$A$101:$XFD$101" dn="Z_42584DC0_1D41_4C93_9B38_C388E7B8DAC4_.wvu.Rows" sId="3"/>
    <undo index="30" exp="area" ref3D="1" dr="$A$97:$XFD$97" dn="Z_42584DC0_1D41_4C93_9B38_C388E7B8DAC4_.wvu.Rows" sId="3"/>
    <undo index="28" exp="area" ref3D="1" dr="$A$94:$XFD$94" dn="Z_42584DC0_1D41_4C93_9B38_C388E7B8DAC4_.wvu.Rows" sId="3"/>
    <undo index="26" exp="area" ref3D="1" dr="$A$88:$XFD$88" dn="Z_42584DC0_1D41_4C93_9B38_C388E7B8DAC4_.wvu.Rows" sId="3"/>
    <undo index="24" exp="area" ref3D="1" dr="$A$77:$XFD$77" dn="Z_42584DC0_1D41_4C93_9B38_C388E7B8DAC4_.wvu.Rows" sId="3"/>
    <undo index="22" exp="area" ref3D="1" dr="$A$70:$XFD$70" dn="Z_42584DC0_1D41_4C93_9B38_C388E7B8DAC4_.wvu.Rows" sId="3"/>
    <undo index="20" exp="area" ref3D="1" dr="$A$64:$XFD$66" dn="Z_42584DC0_1D41_4C93_9B38_C388E7B8DAC4_.wvu.Rows" sId="3"/>
    <undo index="18" exp="area" ref3D="1" dr="$A$62:$XFD$62" dn="Z_42584DC0_1D41_4C93_9B38_C388E7B8DAC4_.wvu.Rows" sId="3"/>
    <undo index="16" exp="area" ref3D="1" dr="$A$57:$XFD$57" dn="Z_42584DC0_1D41_4C93_9B38_C388E7B8DAC4_.wvu.Rows" sId="3"/>
    <undo index="16" exp="area" ref3D="1" dr="$A$129:$XFD$131" dn="Z_3DCB9AAA_F09C_4EA6_B992_F93E466D374A_.wvu.Rows" sId="3"/>
    <undo index="14" exp="area" ref3D="1" dr="$A$101:$XFD$101" dn="Z_3DCB9AAA_F09C_4EA6_B992_F93E466D374A_.wvu.Rows" sId="3"/>
    <undo index="12" exp="area" ref3D="1" dr="$A$94:$XFD$94" dn="Z_3DCB9AAA_F09C_4EA6_B992_F93E466D374A_.wvu.Rows" sId="3"/>
    <undo index="10" exp="area" ref3D="1" dr="$A$77:$XFD$77" dn="Z_3DCB9AAA_F09C_4EA6_B992_F93E466D374A_.wvu.Rows" sId="3"/>
    <undo index="8" exp="area" ref3D="1" dr="$A$70:$XFD$70" dn="Z_3DCB9AAA_F09C_4EA6_B992_F93E466D374A_.wvu.Rows" sId="3"/>
    <undo index="18" exp="area" ref3D="1" dr="$A$129:$XFD$131" dn="Z_1A52382B_3765_4E8C_903F_6B8919B7242E_.wvu.Rows" sId="3"/>
    <undo index="16" exp="area" ref3D="1" dr="$A$101:$XFD$101" dn="Z_1A52382B_3765_4E8C_903F_6B8919B7242E_.wvu.Rows" sId="3"/>
    <undo index="14" exp="area" ref3D="1" dr="$A$94:$XFD$94" dn="Z_1A52382B_3765_4E8C_903F_6B8919B7242E_.wvu.Rows" sId="3"/>
    <undo index="12" exp="area" ref3D="1" dr="$A$77:$XFD$77" dn="Z_1A52382B_3765_4E8C_903F_6B8919B7242E_.wvu.Rows" sId="3"/>
    <undo index="10" exp="area" ref3D="1" dr="$A$70:$XFD$70" dn="Z_1A52382B_3765_4E8C_903F_6B8919B7242E_.wvu.Rows" sId="3"/>
    <undo index="8" exp="area" ref3D="1" dr="$A$57:$XFD$57" dn="Z_1A52382B_3765_4E8C_903F_6B8919B7242E_.wvu.Rows" sId="3"/>
    <undo index="24" exp="area" ref3D="1" dr="$A$134:$XFD$135" dn="Z_1718F1EE_9F48_4DBE_9531_3B70F9C4A5DD_.wvu.Rows" sId="3"/>
    <undo index="22" exp="area" ref3D="1" dr="$A$129:$XFD$131" dn="Z_1718F1EE_9F48_4DBE_9531_3B70F9C4A5DD_.wvu.Rows" sId="3"/>
    <undo index="20" exp="area" ref3D="1" dr="$A$101:$XFD$101" dn="Z_1718F1EE_9F48_4DBE_9531_3B70F9C4A5DD_.wvu.Rows" sId="3"/>
    <undo index="18" exp="area" ref3D="1" dr="$A$94:$XFD$94" dn="Z_1718F1EE_9F48_4DBE_9531_3B70F9C4A5DD_.wvu.Rows" sId="3"/>
    <undo index="16" exp="area" ref3D="1" dr="$A$77:$XFD$77" dn="Z_1718F1EE_9F48_4DBE_9531_3B70F9C4A5DD_.wvu.Rows" sId="3"/>
    <undo index="14" exp="area" ref3D="1" dr="$A$70:$XFD$70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1162700001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ФЗ "О пожарной безопасности"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4" sId="3" ref="A57:XFD57" action="deleteRow">
    <undo index="19" exp="ref" v="1" dr="C57" r="C53" sId="3"/>
    <undo index="16" exp="area" ref3D="1" dr="$A$128:$XFD$130" dn="Z_B31C8DB7_3E78_4144_A6B5_8DE36DE63F0E_.wvu.Rows" sId="3"/>
    <undo index="14" exp="area" ref3D="1" dr="$A$100:$XFD$100" dn="Z_B31C8DB7_3E78_4144_A6B5_8DE36DE63F0E_.wvu.Rows" sId="3"/>
    <undo index="12" exp="area" ref3D="1" dr="$A$93:$XFD$93" dn="Z_B31C8DB7_3E78_4144_A6B5_8DE36DE63F0E_.wvu.Rows" sId="3"/>
    <undo index="10" exp="area" ref3D="1" dr="$A$76:$XFD$76" dn="Z_B31C8DB7_3E78_4144_A6B5_8DE36DE63F0E_.wvu.Rows" sId="3"/>
    <undo index="8" exp="area" ref3D="1" dr="$A$69:$XFD$69" dn="Z_B31C8DB7_3E78_4144_A6B5_8DE36DE63F0E_.wvu.Rows" sId="3"/>
    <undo index="22" exp="area" ref3D="1" dr="$A$133:$XFD$134" dn="Z_B30CE22D_C12F_4E12_8BB9_3AAE0A6991CC_.wvu.Rows" sId="3"/>
    <undo index="20" exp="area" ref3D="1" dr="$A$128:$XFD$130" dn="Z_B30CE22D_C12F_4E12_8BB9_3AAE0A6991CC_.wvu.Rows" sId="3"/>
    <undo index="18" exp="area" ref3D="1" dr="$A$93:$XFD$93" dn="Z_B30CE22D_C12F_4E12_8BB9_3AAE0A6991CC_.wvu.Rows" sId="3"/>
    <undo index="16" exp="area" ref3D="1" dr="$A$76:$XFD$76" dn="Z_B30CE22D_C12F_4E12_8BB9_3AAE0A6991CC_.wvu.Rows" sId="3"/>
    <undo index="14" exp="area" ref3D="1" dr="$A$69:$XFD$69" dn="Z_B30CE22D_C12F_4E12_8BB9_3AAE0A6991CC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22" exp="area" ref3D="1" dr="$A$100:$XFD$100" dn="Z_A54C432C_6C68_4B53_A75C_446EB3A61B2B_.wvu.Rows" sId="3"/>
    <undo index="20" exp="area" ref3D="1" dr="$A$93:$XFD$93" dn="Z_A54C432C_6C68_4B53_A75C_446EB3A61B2B_.wvu.Rows" sId="3"/>
    <undo index="18" exp="area" ref3D="1" dr="$A$76:$XFD$76" dn="Z_A54C432C_6C68_4B53_A75C_446EB3A61B2B_.wvu.Rows" sId="3"/>
    <undo index="16" exp="area" ref3D="1" dr="$A$69:$XFD$69" dn="Z_A54C432C_6C68_4B53_A75C_446EB3A61B2B_.wvu.Rows" sId="3"/>
    <undo index="22" exp="area" ref3D="1" dr="$A$133:$XFD$134" dn="Z_61528DAC_5C4C_48F4_ADE2_8A724B05A086_.wvu.Rows" sId="3"/>
    <undo index="20" exp="area" ref3D="1" dr="$A$128:$XFD$130" dn="Z_61528DAC_5C4C_48F4_ADE2_8A724B05A086_.wvu.Rows" sId="3"/>
    <undo index="18" exp="area" ref3D="1" dr="$A$100:$XFD$100" dn="Z_61528DAC_5C4C_48F4_ADE2_8A724B05A086_.wvu.Rows" sId="3"/>
    <undo index="16" exp="area" ref3D="1" dr="$A$93:$XFD$93" dn="Z_61528DAC_5C4C_48F4_ADE2_8A724B05A086_.wvu.Rows" sId="3"/>
    <undo index="16" exp="area" ref3D="1" dr="$A$128:$XFD$130" dn="Z_5BFCA170_DEAE_4D2C_98A0_1E68B427AC01_.wvu.Rows" sId="3"/>
    <undo index="14" exp="area" ref3D="1" dr="$A$100:$XFD$100" dn="Z_5BFCA170_DEAE_4D2C_98A0_1E68B427AC01_.wvu.Rows" sId="3"/>
    <undo index="12" exp="area" ref3D="1" dr="$A$93:$XFD$93" dn="Z_5BFCA170_DEAE_4D2C_98A0_1E68B427AC01_.wvu.Rows" sId="3"/>
    <undo index="10" exp="area" ref3D="1" dr="$A$76:$XFD$76" dn="Z_5BFCA170_DEAE_4D2C_98A0_1E68B427AC01_.wvu.Rows" sId="3"/>
    <undo index="8" exp="area" ref3D="1" dr="$A$69:$XFD$69" dn="Z_5BFCA170_DEAE_4D2C_98A0_1E68B427AC01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8:$XFD$108" dn="Z_42584DC0_1D41_4C93_9B38_C388E7B8DAC4_.wvu.Rows" sId="3"/>
    <undo index="32" exp="area" ref3D="1" dr="$A$100:$XFD$100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4" exp="area" ref3D="1" dr="$A$76:$XFD$76" dn="Z_42584DC0_1D41_4C93_9B38_C388E7B8DAC4_.wvu.Rows" sId="3"/>
    <undo index="22" exp="area" ref3D="1" dr="$A$69:$XFD$69" dn="Z_42584DC0_1D41_4C93_9B38_C388E7B8DAC4_.wvu.Rows" sId="3"/>
    <undo index="20" exp="area" ref3D="1" dr="$A$63:$XFD$65" dn="Z_42584DC0_1D41_4C93_9B38_C388E7B8DAC4_.wvu.Rows" sId="3"/>
    <undo index="18" exp="area" ref3D="1" dr="$A$61:$XFD$61" dn="Z_42584DC0_1D41_4C93_9B38_C388E7B8DAC4_.wvu.Rows" sId="3"/>
    <undo index="16" exp="area" ref3D="1" dr="$A$128:$XFD$130" dn="Z_3DCB9AAA_F09C_4EA6_B992_F93E466D374A_.wvu.Rows" sId="3"/>
    <undo index="14" exp="area" ref3D="1" dr="$A$100:$XFD$100" dn="Z_3DCB9AAA_F09C_4EA6_B992_F93E466D374A_.wvu.Rows" sId="3"/>
    <undo index="12" exp="area" ref3D="1" dr="$A$93:$XFD$93" dn="Z_3DCB9AAA_F09C_4EA6_B992_F93E466D374A_.wvu.Rows" sId="3"/>
    <undo index="10" exp="area" ref3D="1" dr="$A$76:$XFD$76" dn="Z_3DCB9AAA_F09C_4EA6_B992_F93E466D374A_.wvu.Rows" sId="3"/>
    <undo index="8" exp="area" ref3D="1" dr="$A$69:$XFD$69" dn="Z_3DCB9AAA_F09C_4EA6_B992_F93E466D374A_.wvu.Rows" sId="3"/>
    <undo index="18" exp="area" ref3D="1" dr="$A$128:$XFD$130" dn="Z_1A52382B_3765_4E8C_903F_6B8919B7242E_.wvu.Rows" sId="3"/>
    <undo index="16" exp="area" ref3D="1" dr="$A$100:$XFD$100" dn="Z_1A52382B_3765_4E8C_903F_6B8919B7242E_.wvu.Rows" sId="3"/>
    <undo index="14" exp="area" ref3D="1" dr="$A$93:$XFD$93" dn="Z_1A52382B_3765_4E8C_903F_6B8919B7242E_.wvu.Rows" sId="3"/>
    <undo index="12" exp="area" ref3D="1" dr="$A$76:$XFD$76" dn="Z_1A52382B_3765_4E8C_903F_6B8919B7242E_.wvu.Rows" sId="3"/>
    <undo index="10" exp="area" ref3D="1" dr="$A$69:$XFD$69" dn="Z_1A52382B_3765_4E8C_903F_6B8919B7242E_.wvu.Rows" sId="3"/>
    <undo index="24" exp="area" ref3D="1" dr="$A$133:$XFD$134" dn="Z_1718F1EE_9F48_4DBE_9531_3B70F9C4A5DD_.wvu.Rows" sId="3"/>
    <undo index="22" exp="area" ref3D="1" dr="$A$128:$XFD$130" dn="Z_1718F1EE_9F48_4DBE_9531_3B70F9C4A5DD_.wvu.Rows" sId="3"/>
    <undo index="20" exp="area" ref3D="1" dr="$A$100:$XFD$100" dn="Z_1718F1EE_9F48_4DBE_9531_3B70F9C4A5DD_.wvu.Rows" sId="3"/>
    <undo index="18" exp="area" ref3D="1" dr="$A$93:$XFD$93" dn="Z_1718F1EE_9F48_4DBE_9531_3B70F9C4A5DD_.wvu.Rows" sId="3"/>
    <undo index="16" exp="area" ref3D="1" dr="$A$76:$XFD$76" dn="Z_1718F1EE_9F48_4DBE_9531_3B70F9C4A5DD_.wvu.Rows" sId="3"/>
    <undo index="14" exp="area" ref3D="1" dr="$A$69:$XFD$69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Зак.в области сан.эпидем.благоп.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450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459.36588999999998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5" sId="3" ref="A57:XFD57" action="deleteRow">
    <undo index="21" exp="ref" v="1" dr="C57" r="C53" sId="3"/>
    <undo index="16" exp="area" ref3D="1" dr="$A$127:$XFD$129" dn="Z_B31C8DB7_3E78_4144_A6B5_8DE36DE63F0E_.wvu.Rows" sId="3"/>
    <undo index="14" exp="area" ref3D="1" dr="$A$99:$XFD$99" dn="Z_B31C8DB7_3E78_4144_A6B5_8DE36DE63F0E_.wvu.Rows" sId="3"/>
    <undo index="12" exp="area" ref3D="1" dr="$A$92:$XFD$92" dn="Z_B31C8DB7_3E78_4144_A6B5_8DE36DE63F0E_.wvu.Rows" sId="3"/>
    <undo index="10" exp="area" ref3D="1" dr="$A$75:$XFD$75" dn="Z_B31C8DB7_3E78_4144_A6B5_8DE36DE63F0E_.wvu.Rows" sId="3"/>
    <undo index="8" exp="area" ref3D="1" dr="$A$68:$XFD$68" dn="Z_B31C8DB7_3E78_4144_A6B5_8DE36DE63F0E_.wvu.Rows" sId="3"/>
    <undo index="22" exp="area" ref3D="1" dr="$A$132:$XFD$133" dn="Z_B30CE22D_C12F_4E12_8BB9_3AAE0A6991CC_.wvu.Rows" sId="3"/>
    <undo index="20" exp="area" ref3D="1" dr="$A$127:$XFD$129" dn="Z_B30CE22D_C12F_4E12_8BB9_3AAE0A6991CC_.wvu.Rows" sId="3"/>
    <undo index="18" exp="area" ref3D="1" dr="$A$92:$XFD$92" dn="Z_B30CE22D_C12F_4E12_8BB9_3AAE0A6991CC_.wvu.Rows" sId="3"/>
    <undo index="16" exp="area" ref3D="1" dr="$A$75:$XFD$75" dn="Z_B30CE22D_C12F_4E12_8BB9_3AAE0A6991CC_.wvu.Rows" sId="3"/>
    <undo index="14" exp="area" ref3D="1" dr="$A$68:$XFD$68" dn="Z_B30CE22D_C12F_4E12_8BB9_3AAE0A6991CC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2" exp="area" ref3D="1" dr="$A$99:$XFD$99" dn="Z_A54C432C_6C68_4B53_A75C_446EB3A61B2B_.wvu.Rows" sId="3"/>
    <undo index="20" exp="area" ref3D="1" dr="$A$92:$XFD$92" dn="Z_A54C432C_6C68_4B53_A75C_446EB3A61B2B_.wvu.Rows" sId="3"/>
    <undo index="18" exp="area" ref3D="1" dr="$A$75:$XFD$75" dn="Z_A54C432C_6C68_4B53_A75C_446EB3A61B2B_.wvu.Rows" sId="3"/>
    <undo index="16" exp="area" ref3D="1" dr="$A$68:$XFD$68" dn="Z_A54C432C_6C68_4B53_A75C_446EB3A61B2B_.wvu.Rows" sId="3"/>
    <undo index="22" exp="area" ref3D="1" dr="$A$132:$XFD$133" dn="Z_61528DAC_5C4C_48F4_ADE2_8A724B05A086_.wvu.Rows" sId="3"/>
    <undo index="20" exp="area" ref3D="1" dr="$A$127:$XFD$129" dn="Z_61528DAC_5C4C_48F4_ADE2_8A724B05A086_.wvu.Rows" sId="3"/>
    <undo index="18" exp="area" ref3D="1" dr="$A$99:$XFD$99" dn="Z_61528DAC_5C4C_48F4_ADE2_8A724B05A086_.wvu.Rows" sId="3"/>
    <undo index="16" exp="area" ref3D="1" dr="$A$92:$XFD$92" dn="Z_61528DAC_5C4C_48F4_ADE2_8A724B05A086_.wvu.Rows" sId="3"/>
    <undo index="16" exp="area" ref3D="1" dr="$A$127:$XFD$129" dn="Z_5BFCA170_DEAE_4D2C_98A0_1E68B427AC01_.wvu.Rows" sId="3"/>
    <undo index="14" exp="area" ref3D="1" dr="$A$99:$XFD$99" dn="Z_5BFCA170_DEAE_4D2C_98A0_1E68B427AC01_.wvu.Rows" sId="3"/>
    <undo index="12" exp="area" ref3D="1" dr="$A$92:$XFD$92" dn="Z_5BFCA170_DEAE_4D2C_98A0_1E68B427AC01_.wvu.Rows" sId="3"/>
    <undo index="10" exp="area" ref3D="1" dr="$A$75:$XFD$75" dn="Z_5BFCA170_DEAE_4D2C_98A0_1E68B427AC01_.wvu.Rows" sId="3"/>
    <undo index="8" exp="area" ref3D="1" dr="$A$68:$XFD$68" dn="Z_5BFCA170_DEAE_4D2C_98A0_1E68B427AC01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7:$XFD$107" dn="Z_42584DC0_1D41_4C93_9B38_C388E7B8DAC4_.wvu.Rows" sId="3"/>
    <undo index="32" exp="area" ref3D="1" dr="$A$99:$XFD$99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4" exp="area" ref3D="1" dr="$A$75:$XFD$75" dn="Z_42584DC0_1D41_4C93_9B38_C388E7B8DAC4_.wvu.Rows" sId="3"/>
    <undo index="22" exp="area" ref3D="1" dr="$A$68:$XFD$68" dn="Z_42584DC0_1D41_4C93_9B38_C388E7B8DAC4_.wvu.Rows" sId="3"/>
    <undo index="20" exp="area" ref3D="1" dr="$A$62:$XFD$64" dn="Z_42584DC0_1D41_4C93_9B38_C388E7B8DAC4_.wvu.Rows" sId="3"/>
    <undo index="18" exp="area" ref3D="1" dr="$A$60:$XFD$60" dn="Z_42584DC0_1D41_4C93_9B38_C388E7B8DAC4_.wvu.Rows" sId="3"/>
    <undo index="16" exp="area" ref3D="1" dr="$A$127:$XFD$129" dn="Z_3DCB9AAA_F09C_4EA6_B992_F93E466D374A_.wvu.Rows" sId="3"/>
    <undo index="14" exp="area" ref3D="1" dr="$A$99:$XFD$99" dn="Z_3DCB9AAA_F09C_4EA6_B992_F93E466D374A_.wvu.Rows" sId="3"/>
    <undo index="12" exp="area" ref3D="1" dr="$A$92:$XFD$92" dn="Z_3DCB9AAA_F09C_4EA6_B992_F93E466D374A_.wvu.Rows" sId="3"/>
    <undo index="10" exp="area" ref3D="1" dr="$A$75:$XFD$75" dn="Z_3DCB9AAA_F09C_4EA6_B992_F93E466D374A_.wvu.Rows" sId="3"/>
    <undo index="8" exp="area" ref3D="1" dr="$A$68:$XFD$68" dn="Z_3DCB9AAA_F09C_4EA6_B992_F93E466D374A_.wvu.Rows" sId="3"/>
    <undo index="18" exp="area" ref3D="1" dr="$A$127:$XFD$129" dn="Z_1A52382B_3765_4E8C_903F_6B8919B7242E_.wvu.Rows" sId="3"/>
    <undo index="16" exp="area" ref3D="1" dr="$A$99:$XFD$99" dn="Z_1A52382B_3765_4E8C_903F_6B8919B7242E_.wvu.Rows" sId="3"/>
    <undo index="14" exp="area" ref3D="1" dr="$A$92:$XFD$92" dn="Z_1A52382B_3765_4E8C_903F_6B8919B7242E_.wvu.Rows" sId="3"/>
    <undo index="12" exp="area" ref3D="1" dr="$A$75:$XFD$75" dn="Z_1A52382B_3765_4E8C_903F_6B8919B7242E_.wvu.Rows" sId="3"/>
    <undo index="10" exp="area" ref3D="1" dr="$A$68:$XFD$68" dn="Z_1A52382B_3765_4E8C_903F_6B8919B7242E_.wvu.Rows" sId="3"/>
    <undo index="24" exp="area" ref3D="1" dr="$A$132:$XFD$133" dn="Z_1718F1EE_9F48_4DBE_9531_3B70F9C4A5DD_.wvu.Rows" sId="3"/>
    <undo index="22" exp="area" ref3D="1" dr="$A$127:$XFD$129" dn="Z_1718F1EE_9F48_4DBE_9531_3B70F9C4A5DD_.wvu.Rows" sId="3"/>
    <undo index="20" exp="area" ref3D="1" dr="$A$99:$XFD$99" dn="Z_1718F1EE_9F48_4DBE_9531_3B70F9C4A5DD_.wvu.Rows" sId="3"/>
    <undo index="18" exp="area" ref3D="1" dr="$A$92:$XFD$92" dn="Z_1718F1EE_9F48_4DBE_9531_3B70F9C4A5DD_.wvu.Rows" sId="3"/>
    <undo index="16" exp="area" ref3D="1" dr="$A$75:$XFD$75" dn="Z_1718F1EE_9F48_4DBE_9531_3B70F9C4A5DD_.wvu.Rows" sId="3"/>
    <undo index="14" exp="area" ref3D="1" dr="$A$68:$XFD$68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1163003001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правонаруш. В области дорожного движения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441.5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6" sId="3" ref="A57:XFD57" action="deleteRow">
    <undo index="23" exp="ref" v="1" dr="C57" r="C53" sId="3"/>
    <undo index="16" exp="area" ref3D="1" dr="$A$126:$XFD$128" dn="Z_B31C8DB7_3E78_4144_A6B5_8DE36DE63F0E_.wvu.Rows" sId="3"/>
    <undo index="14" exp="area" ref3D="1" dr="$A$98:$XFD$98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7:$XFD$67" dn="Z_B31C8DB7_3E78_4144_A6B5_8DE36DE63F0E_.wvu.Rows" sId="3"/>
    <undo index="22" exp="area" ref3D="1" dr="$A$131:$XFD$132" dn="Z_B30CE22D_C12F_4E12_8BB9_3AAE0A6991CC_.wvu.Rows" sId="3"/>
    <undo index="20" exp="area" ref3D="1" dr="$A$126:$XFD$128" dn="Z_B30CE22D_C12F_4E12_8BB9_3AAE0A6991CC_.wvu.Rows" sId="3"/>
    <undo index="18" exp="area" ref3D="1" dr="$A$91:$XFD$91" dn="Z_B30CE22D_C12F_4E12_8BB9_3AAE0A6991CC_.wvu.Rows" sId="3"/>
    <undo index="16" exp="area" ref3D="1" dr="$A$74:$XFD$74" dn="Z_B30CE22D_C12F_4E12_8BB9_3AAE0A6991CC_.wvu.Rows" sId="3"/>
    <undo index="14" exp="area" ref3D="1" dr="$A$67:$XFD$67" dn="Z_B30CE22D_C12F_4E12_8BB9_3AAE0A6991CC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2" exp="area" ref3D="1" dr="$A$98:$XFD$98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7:$XFD$67" dn="Z_A54C432C_6C68_4B53_A75C_446EB3A61B2B_.wvu.Rows" sId="3"/>
    <undo index="22" exp="area" ref3D="1" dr="$A$131:$XFD$132" dn="Z_61528DAC_5C4C_48F4_ADE2_8A724B05A086_.wvu.Rows" sId="3"/>
    <undo index="20" exp="area" ref3D="1" dr="$A$126:$XFD$128" dn="Z_61528DAC_5C4C_48F4_ADE2_8A724B05A086_.wvu.Rows" sId="3"/>
    <undo index="18" exp="area" ref3D="1" dr="$A$98:$XFD$98" dn="Z_61528DAC_5C4C_48F4_ADE2_8A724B05A086_.wvu.Rows" sId="3"/>
    <undo index="16" exp="area" ref3D="1" dr="$A$91:$XFD$91" dn="Z_61528DAC_5C4C_48F4_ADE2_8A724B05A086_.wvu.Rows" sId="3"/>
    <undo index="16" exp="area" ref3D="1" dr="$A$126:$XFD$128" dn="Z_5BFCA170_DEAE_4D2C_98A0_1E68B427AC01_.wvu.Rows" sId="3"/>
    <undo index="14" exp="area" ref3D="1" dr="$A$98:$XFD$98" dn="Z_5BFCA170_DEAE_4D2C_98A0_1E68B427AC01_.wvu.Rows" sId="3"/>
    <undo index="12" exp="area" ref3D="1" dr="$A$91:$XFD$91" dn="Z_5BFCA170_DEAE_4D2C_98A0_1E68B427AC01_.wvu.Rows" sId="3"/>
    <undo index="10" exp="area" ref3D="1" dr="$A$74:$XFD$74" dn="Z_5BFCA170_DEAE_4D2C_98A0_1E68B427AC01_.wvu.Rows" sId="3"/>
    <undo index="8" exp="area" ref3D="1" dr="$A$67:$XFD$67" dn="Z_5BFCA170_DEAE_4D2C_98A0_1E68B427AC01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6:$XFD$106" dn="Z_42584DC0_1D41_4C93_9B38_C388E7B8DAC4_.wvu.Rows" sId="3"/>
    <undo index="32" exp="area" ref3D="1" dr="$A$98:$XFD$98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7:$XFD$67" dn="Z_42584DC0_1D41_4C93_9B38_C388E7B8DAC4_.wvu.Rows" sId="3"/>
    <undo index="20" exp="area" ref3D="1" dr="$A$61:$XFD$63" dn="Z_42584DC0_1D41_4C93_9B38_C388E7B8DAC4_.wvu.Rows" sId="3"/>
    <undo index="18" exp="area" ref3D="1" dr="$A$59:$XFD$59" dn="Z_42584DC0_1D41_4C93_9B38_C388E7B8DAC4_.wvu.Rows" sId="3"/>
    <undo index="16" exp="area" ref3D="1" dr="$A$126:$XFD$128" dn="Z_3DCB9AAA_F09C_4EA6_B992_F93E466D374A_.wvu.Rows" sId="3"/>
    <undo index="14" exp="area" ref3D="1" dr="$A$98:$XFD$98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7:$XFD$67" dn="Z_3DCB9AAA_F09C_4EA6_B992_F93E466D374A_.wvu.Rows" sId="3"/>
    <undo index="18" exp="area" ref3D="1" dr="$A$126:$XFD$128" dn="Z_1A52382B_3765_4E8C_903F_6B8919B7242E_.wvu.Rows" sId="3"/>
    <undo index="16" exp="area" ref3D="1" dr="$A$98:$XFD$98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7:$XFD$67" dn="Z_1A52382B_3765_4E8C_903F_6B8919B7242E_.wvu.Rows" sId="3"/>
    <undo index="24" exp="area" ref3D="1" dr="$A$131:$XFD$132" dn="Z_1718F1EE_9F48_4DBE_9531_3B70F9C4A5DD_.wvu.Rows" sId="3"/>
    <undo index="22" exp="area" ref3D="1" dr="$A$126:$XFD$128" dn="Z_1718F1EE_9F48_4DBE_9531_3B70F9C4A5DD_.wvu.Rows" sId="3"/>
    <undo index="20" exp="area" ref3D="1" dr="$A$98:$XFD$98" dn="Z_1718F1EE_9F48_4DBE_9531_3B70F9C4A5DD_.wvu.Rows" sId="3"/>
    <undo index="18" exp="area" ref3D="1" dr="$A$91:$XFD$91" dn="Z_1718F1EE_9F48_4DBE_9531_3B70F9C4A5DD_.wvu.Rows" sId="3"/>
    <undo index="16" exp="area" ref3D="1" dr="$A$74:$XFD$74" dn="Z_1718F1EE_9F48_4DBE_9531_3B70F9C4A5DD_.wvu.Rows" sId="3"/>
    <undo index="14" exp="area" ref3D="1" dr="$A$67:$XFD$67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1164300001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взыскания  (штрафы) за нарушения законодательства РФ о об адм. Правонар., предусмотренные ст. 20.25 КоАП</t>
        </is>
      </nc>
      <ndxf>
        <font>
          <sz val="16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735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702.86089000000004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7" sId="3" ref="A57:XFD57" action="deleteRow">
    <undo index="25" exp="ref" v="1" dr="C57" r="C53" sId="3"/>
    <undo index="16" exp="area" ref3D="1" dr="$A$125:$XFD$127" dn="Z_B31C8DB7_3E78_4144_A6B5_8DE36DE63F0E_.wvu.Rows" sId="3"/>
    <undo index="14" exp="area" ref3D="1" dr="$A$97:$XFD$97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6:$XFD$66" dn="Z_B31C8DB7_3E78_4144_A6B5_8DE36DE63F0E_.wvu.Rows" sId="3"/>
    <undo index="22" exp="area" ref3D="1" dr="$A$130:$XFD$131" dn="Z_B30CE22D_C12F_4E12_8BB9_3AAE0A6991CC_.wvu.Rows" sId="3"/>
    <undo index="20" exp="area" ref3D="1" dr="$A$125:$XFD$127" dn="Z_B30CE22D_C12F_4E12_8BB9_3AAE0A6991CC_.wvu.Rows" sId="3"/>
    <undo index="18" exp="area" ref3D="1" dr="$A$90:$XFD$90" dn="Z_B30CE22D_C12F_4E12_8BB9_3AAE0A6991CC_.wvu.Rows" sId="3"/>
    <undo index="16" exp="area" ref3D="1" dr="$A$73:$XFD$73" dn="Z_B30CE22D_C12F_4E12_8BB9_3AAE0A6991CC_.wvu.Rows" sId="3"/>
    <undo index="14" exp="area" ref3D="1" dr="$A$66:$XFD$66" dn="Z_B30CE22D_C12F_4E12_8BB9_3AAE0A6991CC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2" exp="area" ref3D="1" dr="$A$97:$XFD$97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6:$XFD$66" dn="Z_A54C432C_6C68_4B53_A75C_446EB3A61B2B_.wvu.Rows" sId="3"/>
    <undo index="22" exp="area" ref3D="1" dr="$A$130:$XFD$131" dn="Z_61528DAC_5C4C_48F4_ADE2_8A724B05A086_.wvu.Rows" sId="3"/>
    <undo index="20" exp="area" ref3D="1" dr="$A$125:$XFD$127" dn="Z_61528DAC_5C4C_48F4_ADE2_8A724B05A086_.wvu.Rows" sId="3"/>
    <undo index="18" exp="area" ref3D="1" dr="$A$97:$XFD$97" dn="Z_61528DAC_5C4C_48F4_ADE2_8A724B05A086_.wvu.Rows" sId="3"/>
    <undo index="16" exp="area" ref3D="1" dr="$A$90:$XFD$90" dn="Z_61528DAC_5C4C_48F4_ADE2_8A724B05A086_.wvu.Rows" sId="3"/>
    <undo index="16" exp="area" ref3D="1" dr="$A$125:$XFD$127" dn="Z_5BFCA170_DEAE_4D2C_98A0_1E68B427AC01_.wvu.Rows" sId="3"/>
    <undo index="14" exp="area" ref3D="1" dr="$A$97:$XFD$97" dn="Z_5BFCA170_DEAE_4D2C_98A0_1E68B427AC01_.wvu.Rows" sId="3"/>
    <undo index="12" exp="area" ref3D="1" dr="$A$90:$XFD$90" dn="Z_5BFCA170_DEAE_4D2C_98A0_1E68B427AC01_.wvu.Rows" sId="3"/>
    <undo index="10" exp="area" ref3D="1" dr="$A$73:$XFD$73" dn="Z_5BFCA170_DEAE_4D2C_98A0_1E68B427AC01_.wvu.Rows" sId="3"/>
    <undo index="8" exp="area" ref3D="1" dr="$A$66:$XFD$66" dn="Z_5BFCA170_DEAE_4D2C_98A0_1E68B427AC01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5:$XFD$105" dn="Z_42584DC0_1D41_4C93_9B38_C388E7B8DAC4_.wvu.Rows" sId="3"/>
    <undo index="32" exp="area" ref3D="1" dr="$A$97:$XFD$97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8" exp="area" ref3D="1" dr="$A$58:$XFD$58" dn="Z_42584DC0_1D41_4C93_9B38_C388E7B8DAC4_.wvu.Rows" sId="3"/>
    <undo index="16" exp="area" ref3D="1" dr="$A$125:$XFD$127" dn="Z_3DCB9AAA_F09C_4EA6_B992_F93E466D374A_.wvu.Rows" sId="3"/>
    <undo index="14" exp="area" ref3D="1" dr="$A$97:$XFD$97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6" exp="area" ref3D="1" dr="$A$97:$XFD$97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6:$XFD$66" dn="Z_1A52382B_3765_4E8C_903F_6B8919B7242E_.wvu.Rows" sId="3"/>
    <undo index="24" exp="area" ref3D="1" dr="$A$130:$XFD$131" dn="Z_1718F1EE_9F48_4DBE_9531_3B70F9C4A5DD_.wvu.Rows" sId="3"/>
    <undo index="22" exp="area" ref3D="1" dr="$A$125:$XFD$127" dn="Z_1718F1EE_9F48_4DBE_9531_3B70F9C4A5DD_.wvu.Rows" sId="3"/>
    <undo index="20" exp="area" ref3D="1" dr="$A$97:$XFD$97" dn="Z_1718F1EE_9F48_4DBE_9531_3B70F9C4A5DD_.wvu.Rows" sId="3"/>
    <undo index="18" exp="area" ref3D="1" dr="$A$90:$XFD$90" dn="Z_1718F1EE_9F48_4DBE_9531_3B70F9C4A5DD_.wvu.Rows" sId="3"/>
    <undo index="16" exp="area" ref3D="1" dr="$A$73:$XFD$73" dn="Z_1718F1EE_9F48_4DBE_9531_3B70F9C4A5DD_.wvu.Rows" sId="3"/>
    <undo index="14" exp="area" ref3D="1" dr="$A$66:$XFD$6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1163305005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Денежные взыскания  (штрафы) за нарушения законодательства РФ о размещении заказов на поставки товаров, выполнение работ, оказание услуг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145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104.11462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8" sId="3" ref="A57:XFD57" action="deleteRow">
    <undo index="27" exp="ref" v="1" dr="C57" r="C53" sId="3"/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22" exp="area" ref3D="1" dr="$A$129:$XFD$130" dn="Z_61528DAC_5C4C_48F4_ADE2_8A724B05A086_.wvu.Rows" sId="3"/>
    <undo index="20" exp="area" ref3D="1" dr="$A$124:$XFD$126" dn="Z_61528DAC_5C4C_48F4_ADE2_8A724B05A086_.wvu.Rows" sId="3"/>
    <undo index="18" exp="area" ref3D="1" dr="$A$96:$XFD$96" dn="Z_61528DAC_5C4C_48F4_ADE2_8A724B05A086_.wvu.Rows" sId="3"/>
    <undo index="16" exp="area" ref3D="1" dr="$A$89:$XFD$89" dn="Z_61528DAC_5C4C_48F4_ADE2_8A724B05A086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8" exp="area" ref3D="1" dr="$A$57:$XFD$57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1163500000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Сумма по искам о возмещении вреда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1.3480300000000001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9" sId="3" ref="A57:XFD57" action="deleteRow">
    <undo index="0" exp="area" dr="D54:D57" r="D53" sId="3"/>
    <undo index="29" exp="ref" v="1" dr="C57" r="C53" sId="3"/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22" exp="area" ref3D="1" dr="$A$128:$XFD$129" dn="Z_61528DAC_5C4C_48F4_ADE2_8A724B05A086_.wvu.Rows" sId="3"/>
    <undo index="20" exp="area" ref3D="1" dr="$A$123:$XFD$125" dn="Z_61528DAC_5C4C_48F4_ADE2_8A724B05A086_.wvu.Rows" sId="3"/>
    <undo index="18" exp="area" ref3D="1" dr="$A$95:$XFD$95" dn="Z_61528DAC_5C4C_48F4_ADE2_8A724B05A086_.wvu.Rows" sId="3"/>
    <undo index="16" exp="area" ref3D="1" dr="$A$88:$XFD$88" dn="Z_61528DAC_5C4C_48F4_ADE2_8A724B05A086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1169000000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Прочие поступления от денежных взысканий и иных сумм от возмещение ущерба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2533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2651.6229499999999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30" sId="3">
    <oc r="C53">
      <f>C54+C55+C56+#REF!+#REF!+#REF!+#REF!+#REF!+#REF!+#REF!+#REF!+#REF!+#REF!+#REF!+#REF!+#REF!</f>
    </oc>
    <nc r="C53">
      <f>SUM(C54:C56)</f>
    </nc>
  </rcc>
  <rcc rId="16631" sId="3" odxf="1" dxf="1">
    <oc r="D53">
      <f>SUM(D54:D56)</f>
    </oc>
    <nc r="D53">
      <f>SUM(D54:D56)</f>
    </nc>
    <odxf>
      <numFmt numFmtId="168" formatCode="0.00000"/>
    </odxf>
    <ndxf>
      <numFmt numFmtId="166" formatCode="0.0"/>
    </ndxf>
  </rcc>
  <rcc rId="16632" sId="3" numFmtId="4">
    <oc r="C62">
      <v>27513.7</v>
    </oc>
    <nc r="C62">
      <v>0</v>
    </nc>
  </rcc>
  <rcc rId="16633" sId="3" numFmtId="4">
    <oc r="D62">
      <v>27513.7</v>
    </oc>
    <nc r="D62">
      <v>0</v>
    </nc>
  </rcc>
  <rcc rId="16634" sId="3" numFmtId="4">
    <oc r="C64">
      <v>10103.5</v>
    </oc>
    <nc r="C64">
      <v>10026.9</v>
    </nc>
  </rcc>
  <rcc rId="16635" sId="3" numFmtId="4">
    <oc r="D64">
      <v>10103.5</v>
    </oc>
    <nc r="D64">
      <v>835.6</v>
    </nc>
  </rcc>
  <rcc rId="16636" sId="3" numFmtId="4">
    <oc r="C65">
      <v>249768.08588999999</v>
    </oc>
    <nc r="C65">
      <v>227331.5624</v>
    </nc>
  </rcc>
  <rcc rId="16637" sId="3" numFmtId="4">
    <oc r="D65">
      <v>244324.37763</v>
    </oc>
    <nc r="D65">
      <v>0</v>
    </nc>
  </rcc>
  <rcc rId="16638" sId="3" numFmtId="4">
    <oc r="C66">
      <v>347994.19494000002</v>
    </oc>
    <nc r="C66">
      <v>363023.84</v>
    </nc>
  </rcc>
  <rcc rId="16639" sId="3" numFmtId="4">
    <oc r="D66">
      <v>347903.06880000001</v>
    </oc>
    <nc r="D66">
      <v>29346.145</v>
    </nc>
  </rcc>
  <rcc rId="16640" sId="3" numFmtId="4">
    <oc r="D67">
      <v>87504.450400000002</v>
    </oc>
    <nc r="D67">
      <v>1896.125</v>
    </nc>
  </rcc>
  <rcc rId="16641" sId="3" numFmtId="4">
    <oc r="C69">
      <v>-29040.5</v>
    </oc>
    <nc r="C69">
      <v>0</v>
    </nc>
  </rcc>
  <rcc rId="16642" sId="3" numFmtId="4">
    <oc r="C55">
      <v>14</v>
    </oc>
    <nc r="C55">
      <v>5600</v>
    </nc>
  </rcc>
  <rcc rId="16643" sId="3" numFmtId="4">
    <nc r="D13">
      <v>55.125419999999998</v>
    </nc>
  </rcc>
  <rcc rId="16644" sId="3" numFmtId="4">
    <oc r="C67">
      <v>88015.866399999999</v>
    </oc>
    <nc r="C67">
      <v>29907</v>
    </nc>
  </rcc>
  <rcc rId="16645" sId="3" numFmtId="4">
    <oc r="D69">
      <v>-29130.881000000001</v>
    </oc>
    <nc r="D69">
      <v>-52617.294300000001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15339" sId="11">
    <oc r="A1" t="inlineStr">
      <is>
        <t xml:space="preserve">                     Анализ исполнения бюджета Сятракасинского сельского поселения на 01.01.2020 г.</t>
      </is>
    </oc>
    <nc r="A1" t="inlineStr">
      <is>
        <t xml:space="preserve">                     Анализ исполнения бюджета Сятракасинского сельского поселения на 01.02.2020 г.</t>
      </is>
    </nc>
  </rcc>
  <rcc rId="15340" sId="11">
    <oc r="C3" t="inlineStr">
      <is>
        <t>назначено на 2019 г.</t>
      </is>
    </oc>
    <nc r="C3" t="inlineStr">
      <is>
        <t>назначено на 2020 г.</t>
      </is>
    </nc>
  </rcc>
  <rcc rId="15341" sId="11">
    <oc r="D3" t="inlineStr">
      <is>
        <t>исполнен на 01.01.2020 г.</t>
      </is>
    </oc>
    <nc r="D3" t="inlineStr">
      <is>
        <t>исполнен на 01.02.2020 г.</t>
      </is>
    </nc>
  </rcc>
  <rcc rId="15342" sId="11">
    <oc r="C54" t="inlineStr">
      <is>
        <t>назначено на 2019 г.</t>
      </is>
    </oc>
    <nc r="C54" t="inlineStr">
      <is>
        <t>назначено на 2020 г.</t>
      </is>
    </nc>
  </rcc>
  <rcc rId="15343" sId="11">
    <oc r="D54" t="inlineStr">
      <is>
        <t>исполнено на 01.01.2020 г.</t>
      </is>
    </oc>
    <nc r="D54" t="inlineStr">
      <is>
        <t>исполнено на 01.02.2020 г.</t>
      </is>
    </nc>
  </rcc>
  <rcc rId="15344" sId="11" numFmtId="4">
    <oc r="C6">
      <v>120.54300000000001</v>
    </oc>
    <nc r="C6">
      <v>137.6</v>
    </nc>
  </rcc>
  <rcc rId="15345" sId="11" numFmtId="4">
    <oc r="D6">
      <v>127.34598</v>
    </oc>
    <nc r="D6">
      <v>7.2460800000000001</v>
    </nc>
  </rcc>
  <rcc rId="15346" sId="11" numFmtId="4">
    <oc r="C8">
      <v>195.33</v>
    </oc>
    <nc r="C8">
      <v>227.51</v>
    </nc>
  </rcc>
  <rcc rId="15347" sId="11" numFmtId="4">
    <oc r="D8">
      <v>289.47811000000002</v>
    </oc>
    <nc r="D8">
      <v>23.092639999999999</v>
    </nc>
  </rcc>
  <rcc rId="15348" sId="11" numFmtId="4">
    <oc r="C9">
      <v>2.0950000000000002</v>
    </oc>
    <nc r="C9">
      <v>2.44</v>
    </nc>
  </rcc>
  <rcc rId="15349" sId="11" numFmtId="4">
    <oc r="D9">
      <v>2.1277499999999998</v>
    </oc>
    <nc r="D9">
      <v>0.15712999999999999</v>
    </nc>
  </rcc>
  <rcc rId="15350" sId="11" numFmtId="4">
    <oc r="C10">
      <v>326.24</v>
    </oc>
    <nc r="C10">
      <v>379.99</v>
    </nc>
  </rcc>
  <rcc rId="15351" sId="11" numFmtId="4">
    <oc r="D10">
      <v>386.74373000000003</v>
    </oc>
    <nc r="D10">
      <v>31.686679999999999</v>
    </nc>
  </rcc>
  <rcc rId="15352" sId="11" numFmtId="4">
    <oc r="D11">
      <v>-42.389969999999998</v>
    </oc>
    <nc r="D11">
      <v>-4.2452399999999999</v>
    </nc>
  </rcc>
  <rcc rId="15353" sId="11" numFmtId="4">
    <oc r="C13">
      <v>95</v>
    </oc>
    <nc r="C13">
      <v>50</v>
    </nc>
  </rcc>
  <rcc rId="15354" sId="11" numFmtId="4">
    <oc r="D13">
      <v>98.753339999999994</v>
    </oc>
    <nc r="D13">
      <v>0</v>
    </nc>
  </rcc>
  <rcc rId="15355" sId="11" numFmtId="4">
    <oc r="C15">
      <v>138</v>
    </oc>
    <nc r="C15">
      <v>150</v>
    </nc>
  </rcc>
  <rcc rId="15356" sId="11" numFmtId="4">
    <oc r="D15">
      <v>152.69067999999999</v>
    </oc>
    <nc r="D15">
      <v>1.8404700000000001</v>
    </nc>
  </rcc>
  <rcc rId="15357" sId="11" numFmtId="4">
    <oc r="C16">
      <v>1000</v>
    </oc>
    <nc r="C16">
      <v>905</v>
    </nc>
  </rcc>
  <rcc rId="15358" sId="11" numFmtId="4">
    <oc r="D16">
      <v>926.33088999999995</v>
    </oc>
    <nc r="D16">
      <v>14.608919999999999</v>
    </nc>
  </rcc>
  <rcc rId="15359" sId="11" numFmtId="4">
    <oc r="C18">
      <v>10</v>
    </oc>
    <nc r="C18">
      <v>4</v>
    </nc>
  </rcc>
  <rcc rId="15360" sId="11" numFmtId="4">
    <oc r="D18">
      <v>3.5</v>
    </oc>
    <nc r="D18">
      <v>0</v>
    </nc>
  </rcc>
  <rcc rId="15361" sId="11" numFmtId="4">
    <oc r="C27">
      <v>83</v>
    </oc>
    <nc r="C27">
      <v>146.69999999999999</v>
    </nc>
  </rcc>
  <rcc rId="15362" sId="11" numFmtId="4">
    <oc r="D27">
      <v>87.11</v>
    </oc>
    <nc r="D27">
      <v>0</v>
    </nc>
  </rcc>
  <rcc rId="15363" sId="11" numFmtId="4">
    <oc r="C28">
      <v>6</v>
    </oc>
    <nc r="C28">
      <v>6.7</v>
    </nc>
  </rcc>
  <rcc rId="15364" sId="11" numFmtId="4">
    <oc r="D28">
      <v>6.7737600000000002</v>
    </oc>
    <nc r="D28">
      <v>0.56447999999999998</v>
    </nc>
  </rcc>
  <rcc rId="15365" sId="11" numFmtId="4">
    <oc r="D30">
      <v>8.2261100000000003</v>
    </oc>
    <nc r="D30">
      <v>0</v>
    </nc>
  </rcc>
  <rcc rId="15366" sId="11" numFmtId="4">
    <oc r="C35">
      <v>1</v>
    </oc>
    <nc r="C35">
      <v>0</v>
    </nc>
  </rcc>
  <rcc rId="15367" sId="11" numFmtId="4">
    <oc r="D35">
      <v>1.8294999999999999</v>
    </oc>
    <nc r="D35">
      <v>0</v>
    </nc>
  </rcc>
  <rcc rId="15368" sId="11" numFmtId="4">
    <oc r="C41">
      <v>2862</v>
    </oc>
    <nc r="C41">
      <v>3036.7</v>
    </nc>
  </rcc>
  <rcc rId="15369" sId="11" numFmtId="4">
    <oc r="D41">
      <v>2862</v>
    </oc>
    <nc r="D41">
      <v>253.054</v>
    </nc>
  </rcc>
  <rcc rId="15370" sId="11" numFmtId="4">
    <oc r="C43">
      <v>2013.269</v>
    </oc>
    <nc r="C43">
      <v>1072.838</v>
    </nc>
  </rcc>
  <rcc rId="15371" sId="11" numFmtId="4">
    <oc r="D43">
      <v>2013.2270000000001</v>
    </oc>
    <nc r="D43">
      <v>0</v>
    </nc>
  </rcc>
  <rcc rId="15372" sId="11" numFmtId="4">
    <oc r="D48">
      <v>286.053</v>
    </oc>
    <nc r="D48"/>
  </rcc>
  <rcc rId="15373" sId="11" numFmtId="4">
    <oc r="D49">
      <v>254.70627999999999</v>
    </oc>
    <nc r="D49"/>
  </rcc>
  <rcc rId="15374" sId="11" numFmtId="4">
    <oc r="C48">
      <v>286.053</v>
    </oc>
    <nc r="C48"/>
  </rcc>
  <rcc rId="15375" sId="11" numFmtId="4">
    <oc r="C49">
      <v>224.82400000000001</v>
    </oc>
    <nc r="C49"/>
  </rcc>
  <rcc rId="15376" sId="11" numFmtId="4">
    <oc r="C44">
      <v>182.04300000000001</v>
    </oc>
    <nc r="C44">
      <v>182.18799999999999</v>
    </nc>
  </rcc>
  <rcc rId="15377" sId="11" numFmtId="4">
    <oc r="D44">
      <v>182.04300000000001</v>
    </oc>
    <nc r="D44">
      <v>14.933299999999999</v>
    </nc>
  </rcc>
  <rcc rId="15378" sId="11" numFmtId="34">
    <oc r="C58">
      <v>1367.0530000000001</v>
    </oc>
    <nc r="C58">
      <v>1396.2</v>
    </nc>
  </rcc>
  <rcc rId="15379" sId="11" numFmtId="34">
    <oc r="D58">
      <v>1339.8450800000001</v>
    </oc>
    <nc r="D58">
      <v>20.3</v>
    </nc>
  </rcc>
  <rcc rId="15380" sId="11" numFmtId="34">
    <oc r="C61">
      <v>0</v>
    </oc>
    <nc r="C61">
      <v>42</v>
    </nc>
  </rcc>
  <rcc rId="15381" sId="11" numFmtId="34">
    <oc r="C63">
      <v>138.108</v>
    </oc>
    <nc r="C63">
      <v>4.4509999999999996</v>
    </nc>
  </rcc>
  <rcc rId="15382" sId="11" numFmtId="34">
    <oc r="D63">
      <v>117.7075</v>
    </oc>
    <nc r="D63">
      <v>0</v>
    </nc>
  </rcc>
  <rcc rId="15383" sId="11" numFmtId="34">
    <oc r="C65">
      <v>179.892</v>
    </oc>
    <nc r="C65">
      <v>179.208</v>
    </nc>
  </rcc>
  <rcc rId="15384" sId="11" numFmtId="34">
    <oc r="D65">
      <v>179.892</v>
    </oc>
    <nc r="D65">
      <v>4.8</v>
    </nc>
  </rcc>
  <rcc rId="15385" sId="11" numFmtId="34">
    <oc r="C69">
      <v>2.7040000000000002</v>
    </oc>
    <nc r="C69">
      <v>2</v>
    </nc>
  </rcc>
  <rcc rId="15386" sId="11" numFmtId="34">
    <oc r="D69">
      <v>2.7031100000000001</v>
    </oc>
    <nc r="D69">
      <v>0</v>
    </nc>
  </rcc>
  <rcc rId="15387" sId="11" numFmtId="34">
    <oc r="D70">
      <v>0.65</v>
    </oc>
    <nc r="D70">
      <v>0</v>
    </nc>
  </rcc>
  <rcc rId="15388" sId="11" numFmtId="34">
    <oc r="D71">
      <v>2</v>
    </oc>
    <nc r="D71">
      <v>0</v>
    </nc>
  </rcc>
  <rcc rId="15389" sId="11" numFmtId="34">
    <oc r="C73">
      <v>5.3620000000000001</v>
    </oc>
    <nc r="C73">
      <v>7.1580000000000004</v>
    </nc>
  </rcc>
  <rcc rId="15390" sId="11" numFmtId="34">
    <oc r="D73">
      <v>5.3620000000000001</v>
    </oc>
    <nc r="D73">
      <v>0</v>
    </nc>
  </rcc>
  <rcc rId="15391" sId="11" numFmtId="34">
    <oc r="C74">
      <v>63.433</v>
    </oc>
    <nc r="C74">
      <v>50</v>
    </nc>
  </rcc>
  <rcc rId="15392" sId="11" numFmtId="34">
    <oc r="D74">
      <v>63.432980000000001</v>
    </oc>
    <nc r="D74">
      <v>47.1</v>
    </nc>
  </rcc>
  <rcc rId="15393" sId="11" numFmtId="34">
    <oc r="C75">
      <v>2891.7818499999998</v>
    </oc>
    <nc r="C75">
      <v>1787.778</v>
    </nc>
  </rcc>
  <rcc rId="15394" sId="11" numFmtId="34">
    <oc r="D75">
      <v>2850.0437400000001</v>
    </oc>
    <nc r="D75">
      <v>0</v>
    </nc>
  </rcc>
  <rcc rId="15395" sId="11" numFmtId="34">
    <oc r="C76">
      <v>226.71899999999999</v>
    </oc>
    <nc r="C76">
      <v>139.571</v>
    </nc>
  </rcc>
  <rcc rId="15396" sId="11" numFmtId="34">
    <oc r="D76">
      <v>149.46</v>
    </oc>
    <nc r="D76">
      <v>0</v>
    </nc>
  </rcc>
  <rcc rId="15397" sId="11" numFmtId="34">
    <oc r="C80">
      <v>898.41099999999994</v>
    </oc>
    <nc r="C80">
      <v>653</v>
    </nc>
  </rcc>
  <rcc rId="15398" sId="11" numFmtId="34">
    <oc r="D80">
      <v>656.32662000000005</v>
    </oc>
    <nc r="D80">
      <v>0</v>
    </nc>
  </rcc>
  <rcc rId="15399" sId="11" numFmtId="34">
    <oc r="C82">
      <v>2026.9880000000001</v>
    </oc>
    <nc r="C82">
      <v>2134.3000000000002</v>
    </nc>
  </rcc>
  <rcc rId="15400" sId="11" numFmtId="34">
    <oc r="D82">
      <v>1991.85</v>
    </oc>
    <nc r="D82">
      <v>158.78299999999999</v>
    </nc>
  </rcc>
  <rcc rId="15401" sId="11" numFmtId="34">
    <oc r="C89">
      <v>24.469000000000001</v>
    </oc>
    <nc r="C89">
      <v>2</v>
    </nc>
  </rcc>
  <rcc rId="15402" sId="11" numFmtId="34">
    <oc r="D89">
      <v>24.469000000000001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14655" sId="5">
    <oc r="C55" t="inlineStr">
      <is>
        <t>назначено на 2019 г.</t>
      </is>
    </oc>
    <nc r="C55" t="inlineStr">
      <is>
        <t>назначено на 2020 г.</t>
      </is>
    </nc>
  </rcc>
  <rcc rId="14656" sId="5">
    <oc r="D55" t="inlineStr">
      <is>
        <t>исполнено на 01.01.2020 г</t>
      </is>
    </oc>
    <nc r="D55" t="inlineStr">
      <is>
        <t>исполнено на 01.02.2020 г</t>
      </is>
    </nc>
  </rcc>
  <rcc rId="14657" sId="5">
    <oc r="A1" t="inlineStr">
      <is>
        <t xml:space="preserve">                     Анализ исполнения бюджета Большесундырского сельского поселения на 01.01.2020 г.</t>
      </is>
    </oc>
    <nc r="A1" t="inlineStr">
      <is>
        <t xml:space="preserve">                     Анализ исполнения бюджета Большесундырского сельского поселения на 01.02.2020 г.</t>
      </is>
    </nc>
  </rcc>
  <rcc rId="14658" sId="5">
    <oc r="C3" t="inlineStr">
      <is>
        <t>назначено на 2019 г.</t>
      </is>
    </oc>
    <nc r="C3" t="inlineStr">
      <is>
        <t>назначено на 2020 г.</t>
      </is>
    </nc>
  </rcc>
  <rcc rId="14659" sId="5">
    <oc r="D3" t="inlineStr">
      <is>
        <t>исполнен на 01.01.2020 г.</t>
      </is>
    </oc>
    <nc r="D3" t="inlineStr">
      <is>
        <t>исполнен на 01.02.2020 г.</t>
      </is>
    </nc>
  </rcc>
  <rcc rId="14660" sId="5" numFmtId="4">
    <oc r="C6">
      <v>418.71499999999997</v>
    </oc>
    <nc r="C6">
      <v>403.6</v>
    </nc>
  </rcc>
  <rcc rId="14661" sId="5" numFmtId="4">
    <oc r="D6">
      <v>367.56914</v>
    </oc>
    <nc r="D6">
      <v>13.70337</v>
    </nc>
  </rcc>
  <rcc rId="14662" sId="5" numFmtId="4">
    <oc r="C8">
      <v>237.12</v>
    </oc>
    <nc r="C8">
      <v>275.86</v>
    </nc>
  </rcc>
  <rcc rId="14663" sId="5" numFmtId="4">
    <oc r="D8">
      <v>351.42403999999999</v>
    </oc>
    <nc r="D8">
      <v>27.999839999999999</v>
    </nc>
  </rcc>
  <rcc rId="14664" sId="5" numFmtId="4">
    <oc r="C9">
      <v>2.5049999999999999</v>
    </oc>
    <nc r="C9">
      <v>2.95</v>
    </nc>
  </rcc>
  <rcc rId="14665" sId="5" numFmtId="4">
    <oc r="D9">
      <v>2.5830600000000001</v>
    </oc>
    <nc r="D9">
      <v>0.19053</v>
    </nc>
  </rcc>
  <rcc rId="14666" sId="5" numFmtId="4">
    <oc r="C10">
      <v>396.1</v>
    </oc>
    <nc r="C10">
      <v>460.75</v>
    </nc>
  </rcc>
  <rcc rId="14667" sId="5" numFmtId="4">
    <oc r="D10">
      <v>469.50373000000002</v>
    </oc>
    <nc r="D10">
      <v>38.420090000000002</v>
    </nc>
  </rcc>
  <rcc rId="14668" sId="5" numFmtId="4">
    <oc r="D11">
      <v>-51.461069999999999</v>
    </oc>
    <nc r="D11">
      <v>-5.1473699999999996</v>
    </nc>
  </rcc>
  <rcc rId="14669" sId="5" numFmtId="4">
    <oc r="D13">
      <v>38.458449999999999</v>
    </oc>
    <nc r="D13">
      <v>0</v>
    </nc>
  </rcc>
  <rcc rId="14670" sId="5" numFmtId="4">
    <oc r="C15">
      <v>1098</v>
    </oc>
    <nc r="C15">
      <v>1120</v>
    </nc>
  </rcc>
  <rcc rId="14671" sId="5" numFmtId="4">
    <oc r="D15">
      <v>1058.6190300000001</v>
    </oc>
    <nc r="D15">
      <v>6.2659700000000003</v>
    </nc>
  </rcc>
  <rcc rId="14672" sId="5" numFmtId="4">
    <oc r="C16">
      <v>1285</v>
    </oc>
    <nc r="C16">
      <v>1241</v>
    </nc>
  </rcc>
  <rcc rId="14673" sId="5" numFmtId="4">
    <oc r="D16">
      <v>1237.2877000000001</v>
    </oc>
    <nc r="D16">
      <v>64.251040000000003</v>
    </nc>
  </rcc>
  <rcc rId="14674" sId="5" numFmtId="4">
    <oc r="C18">
      <v>13</v>
    </oc>
    <nc r="C18">
      <v>10</v>
    </nc>
  </rcc>
  <rcc rId="14675" sId="5" numFmtId="4">
    <oc r="D18">
      <v>16.75</v>
    </oc>
    <nc r="D18">
      <v>0.4</v>
    </nc>
  </rcc>
  <rcc rId="14676" sId="5" numFmtId="4">
    <oc r="C28">
      <v>200</v>
    </oc>
    <nc r="C28">
      <v>193.9</v>
    </nc>
  </rcc>
  <rcc rId="14677" sId="5" numFmtId="4">
    <oc r="D28">
      <v>27.2</v>
    </oc>
    <nc r="D28">
      <v>0</v>
    </nc>
  </rcc>
  <rcc rId="14678" sId="5" numFmtId="4">
    <oc r="C29">
      <v>45</v>
    </oc>
    <nc r="C29">
      <v>50</v>
    </nc>
  </rcc>
  <rcc rId="14679" sId="5" numFmtId="4">
    <oc r="D29">
      <v>214.934</v>
    </oc>
    <nc r="D29">
      <v>4.1669999999999998</v>
    </nc>
  </rcc>
  <rcc rId="14680" sId="5" numFmtId="4">
    <oc r="C31">
      <v>200</v>
    </oc>
    <nc r="C31">
      <v>0</v>
    </nc>
  </rcc>
  <rcc rId="14681" sId="5" numFmtId="4">
    <oc r="D31">
      <v>221.96512000000001</v>
    </oc>
    <nc r="D31">
      <v>2.52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A1:K1" start="0" length="2147483647">
    <dxf>
      <font>
        <sz val="16"/>
      </font>
    </dxf>
  </rfmt>
  <rfmt sheetId="1" sqref="C2:E2" start="0" length="2147483647">
    <dxf>
      <font>
        <b/>
      </font>
    </dxf>
  </rfmt>
  <rfmt sheetId="1" sqref="F2:H2" start="0" length="2147483647">
    <dxf>
      <font>
        <b/>
      </font>
    </dxf>
  </rfmt>
  <rfmt sheetId="1" sqref="I2:K2" start="0" length="2147483647">
    <dxf>
      <font>
        <b/>
      </font>
    </dxf>
  </rfmt>
  <rfmt sheetId="1" sqref="C2:E2" start="0" length="2147483647">
    <dxf>
      <font>
        <sz val="12"/>
      </font>
    </dxf>
  </rfmt>
  <rfmt sheetId="1" sqref="F2:H2" start="0" length="2147483647">
    <dxf>
      <font>
        <sz val="12"/>
      </font>
    </dxf>
  </rfmt>
  <rfmt sheetId="1" sqref="I2:K2" start="0" length="2147483647">
    <dxf>
      <font>
        <sz val="12"/>
      </font>
    </dxf>
  </rfmt>
  <rfmt sheetId="2" sqref="B4:Z4">
    <dxf>
      <alignment wrapText="0" readingOrder="0"/>
    </dxf>
  </rfmt>
  <rfmt sheetId="2" sqref="CH14:CH29">
    <dxf>
      <numFmt numFmtId="187" formatCode="#,##0.000"/>
    </dxf>
  </rfmt>
  <rfmt sheetId="2" sqref="CH14:CH29">
    <dxf>
      <numFmt numFmtId="4" formatCode="#,##0.00"/>
    </dxf>
  </rfmt>
  <rfmt sheetId="2" sqref="CH14:CH29">
    <dxf>
      <numFmt numFmtId="167" formatCode="#,##0.0"/>
    </dxf>
  </rfmt>
  <rfmt sheetId="2" sqref="CF14:CF31">
    <dxf>
      <numFmt numFmtId="187" formatCode="#,##0.000"/>
    </dxf>
  </rfmt>
  <rfmt sheetId="2" sqref="CF14:CF31">
    <dxf>
      <numFmt numFmtId="4" formatCode="#,##0.00"/>
    </dxf>
  </rfmt>
  <rfmt sheetId="2" sqref="CF14:CF31">
    <dxf>
      <numFmt numFmtId="167" formatCode="#,##0.0"/>
    </dxf>
  </rfmt>
  <rfmt sheetId="2" sqref="CD14:CD29">
    <dxf>
      <numFmt numFmtId="186" formatCode="#,##0.0000"/>
    </dxf>
  </rfmt>
  <rfmt sheetId="2" sqref="CD14:CD29">
    <dxf>
      <numFmt numFmtId="187" formatCode="#,##0.000"/>
    </dxf>
  </rfmt>
  <rfmt sheetId="2" sqref="CD14:CD29">
    <dxf>
      <numFmt numFmtId="4" formatCode="#,##0.00"/>
    </dxf>
  </rfmt>
  <rfmt sheetId="2" sqref="CD14:CD29">
    <dxf>
      <numFmt numFmtId="167" formatCode="#,##0.0"/>
    </dxf>
  </rfmt>
  <rfmt sheetId="2" sqref="CD14:CD29">
    <dxf>
      <numFmt numFmtId="3" formatCode="#,##0"/>
    </dxf>
  </rfmt>
  <rfmt sheetId="2" sqref="CD14:CD29">
    <dxf>
      <numFmt numFmtId="167" formatCode="#,##0.0"/>
    </dxf>
  </rfmt>
  <rfmt sheetId="2" sqref="CA14:CA31">
    <dxf>
      <numFmt numFmtId="172" formatCode="#,##0.00000"/>
    </dxf>
  </rfmt>
  <rfmt sheetId="2" sqref="CA14:CA31">
    <dxf>
      <numFmt numFmtId="186" formatCode="#,##0.0000"/>
    </dxf>
  </rfmt>
  <rfmt sheetId="2" sqref="CA14:CA31">
    <dxf>
      <numFmt numFmtId="187" formatCode="#,##0.000"/>
    </dxf>
  </rfmt>
  <rfmt sheetId="2" sqref="CA14:CA31">
    <dxf>
      <numFmt numFmtId="4" formatCode="#,##0.00"/>
    </dxf>
  </rfmt>
  <rfmt sheetId="2" sqref="CA14:CA31">
    <dxf>
      <numFmt numFmtId="167" formatCode="#,##0.0"/>
    </dxf>
  </rfmt>
  <rfmt sheetId="2" sqref="BO15:BO29">
    <dxf>
      <numFmt numFmtId="186" formatCode="#,##0.0000"/>
    </dxf>
  </rfmt>
  <rfmt sheetId="2" sqref="BO15:BO29">
    <dxf>
      <numFmt numFmtId="187" formatCode="#,##0.000"/>
    </dxf>
  </rfmt>
  <rfmt sheetId="2" sqref="BO15:BO29">
    <dxf>
      <numFmt numFmtId="4" formatCode="#,##0.00"/>
    </dxf>
  </rfmt>
  <rfmt sheetId="2" sqref="BO15:BO29">
    <dxf>
      <numFmt numFmtId="167" formatCode="#,##0.0"/>
    </dxf>
  </rfmt>
  <rfmt sheetId="2" sqref="CI19">
    <dxf>
      <numFmt numFmtId="186" formatCode="#,##0.0000"/>
    </dxf>
  </rfmt>
  <rfmt sheetId="2" sqref="CI19">
    <dxf>
      <numFmt numFmtId="187" formatCode="#,##0.000"/>
    </dxf>
  </rfmt>
  <rfmt sheetId="2" sqref="CI19">
    <dxf>
      <numFmt numFmtId="4" formatCode="#,##0.00"/>
    </dxf>
  </rfmt>
  <rfmt sheetId="2" sqref="CI19">
    <dxf>
      <numFmt numFmtId="167" formatCode="#,##0.0"/>
    </dxf>
  </rfmt>
  <rfmt sheetId="2" sqref="DN14:DN31">
    <dxf>
      <numFmt numFmtId="186" formatCode="#,##0.0000"/>
    </dxf>
  </rfmt>
  <rfmt sheetId="2" sqref="DN14:DN31">
    <dxf>
      <numFmt numFmtId="187" formatCode="#,##0.000"/>
    </dxf>
  </rfmt>
  <rfmt sheetId="2" sqref="DN14:DN31">
    <dxf>
      <numFmt numFmtId="4" formatCode="#,##0.00"/>
    </dxf>
  </rfmt>
  <rfmt sheetId="2" sqref="DN14:DN31">
    <dxf>
      <numFmt numFmtId="167" formatCode="#,##0.0"/>
    </dxf>
  </rfmt>
  <rfmt sheetId="2" sqref="EC14:EC31">
    <dxf>
      <numFmt numFmtId="172" formatCode="#,##0.00000"/>
    </dxf>
  </rfmt>
  <rfmt sheetId="2" sqref="EC14:EC31">
    <dxf>
      <numFmt numFmtId="186" formatCode="#,##0.0000"/>
    </dxf>
  </rfmt>
  <rfmt sheetId="2" sqref="EC14:EC31">
    <dxf>
      <numFmt numFmtId="187" formatCode="#,##0.000"/>
    </dxf>
  </rfmt>
  <rfmt sheetId="2" sqref="EC14:EC31">
    <dxf>
      <numFmt numFmtId="4" formatCode="#,##0.00"/>
    </dxf>
  </rfmt>
  <rfmt sheetId="2" sqref="EC14:EC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15878" sId="17">
    <oc r="C55" t="inlineStr">
      <is>
        <t>назначено на 2019 г.</t>
      </is>
    </oc>
    <nc r="C55" t="inlineStr">
      <is>
        <t>назначено на 2020 г.</t>
      </is>
    </nc>
  </rcc>
  <rcc rId="15879" sId="17">
    <oc r="D55" t="inlineStr">
      <is>
        <t>исполнено на 01.01.2020г.</t>
      </is>
    </oc>
    <nc r="D55" t="inlineStr">
      <is>
        <t>исполнено на 01.02.2020г.</t>
      </is>
    </nc>
  </rcc>
  <rcc rId="15880" sId="17">
    <oc r="C3" t="inlineStr">
      <is>
        <t>назначено на 2019 г.</t>
      </is>
    </oc>
    <nc r="C3" t="inlineStr">
      <is>
        <t>назначено на 2020 г.</t>
      </is>
    </nc>
  </rcc>
  <rcc rId="15881" sId="17">
    <oc r="D3" t="inlineStr">
      <is>
        <t>исполнен на 01.01.2020 г.</t>
      </is>
    </oc>
    <nc r="D3" t="inlineStr">
      <is>
        <t>исполнен на 01.02.2020 г.</t>
      </is>
    </nc>
  </rcc>
  <rcc rId="15882" sId="17">
    <oc r="A1" t="inlineStr">
      <is>
        <t xml:space="preserve">                     Анализ исполнения бюджета Юськасинского сельского поселения на 01.01.2020 г.</t>
      </is>
    </oc>
    <nc r="A1" t="inlineStr">
      <is>
        <t xml:space="preserve">                     Анализ исполнения бюджета Юськасинского сельского поселения на 01.02.2020 г.</t>
      </is>
    </nc>
  </rcc>
  <rcc rId="15883" sId="17" numFmtId="4">
    <oc r="C6">
      <v>140.44399999999999</v>
    </oc>
    <nc r="C6">
      <v>146.4</v>
    </nc>
  </rcc>
  <rcc rId="15884" sId="17" numFmtId="4">
    <oc r="D6">
      <v>145.02241000000001</v>
    </oc>
    <nc r="D6">
      <v>3.9199899999999999</v>
    </nc>
  </rcc>
  <rcc rId="15885" sId="17" numFmtId="4">
    <oc r="C8">
      <v>250.79</v>
    </oc>
    <nc r="C8">
      <v>206.65</v>
    </nc>
  </rcc>
  <rcc rId="15886" sId="17" numFmtId="4">
    <oc r="D8">
      <v>371.67561000000001</v>
    </oc>
    <nc r="D8">
      <v>20.975840000000002</v>
    </nc>
  </rcc>
  <rcc rId="15887" sId="17" numFmtId="4">
    <oc r="C9">
      <v>2.69</v>
    </oc>
    <nc r="C9">
      <v>2.2200000000000002</v>
    </nc>
  </rcc>
  <rcc rId="15888" sId="17" numFmtId="4">
    <oc r="D9">
      <v>2.7319100000000001</v>
    </oc>
    <nc r="D9">
      <v>0.14274000000000001</v>
    </nc>
  </rcc>
  <rcc rId="15889" sId="17" numFmtId="4">
    <oc r="C10">
      <v>418.88</v>
    </oc>
    <nc r="C10">
      <v>345.16</v>
    </nc>
  </rcc>
  <rcc rId="15890" sId="17" numFmtId="4">
    <oc r="D10">
      <v>496.55986000000001</v>
    </oc>
    <nc r="D10">
      <v>28.782060000000001</v>
    </nc>
  </rcc>
  <rcc rId="15891" sId="17" numFmtId="4">
    <oc r="D11">
      <v>-54.42662</v>
    </oc>
    <nc r="D11">
      <v>-3.8561200000000002</v>
    </nc>
  </rcc>
  <rcc rId="15892" sId="17" numFmtId="4">
    <oc r="C13">
      <v>2</v>
    </oc>
    <nc r="C13">
      <v>5</v>
    </nc>
  </rcc>
  <rcc rId="15893" sId="17" numFmtId="4">
    <oc r="D13">
      <v>0.31428</v>
    </oc>
    <nc r="D13">
      <v>0</v>
    </nc>
  </rcc>
  <rcc rId="15894" sId="17" numFmtId="4">
    <oc r="C15">
      <v>128</v>
    </oc>
    <nc r="C15">
      <v>120</v>
    </nc>
  </rcc>
  <rcc rId="15895" sId="17" numFmtId="4">
    <oc r="D15">
      <v>114.76043</v>
    </oc>
    <nc r="D15">
      <v>0.77456000000000003</v>
    </nc>
  </rcc>
  <rcc rId="15896" sId="17" numFmtId="4">
    <oc r="C16">
      <v>325</v>
    </oc>
    <nc r="C16">
      <v>312</v>
    </nc>
  </rcc>
  <rcc rId="15897" sId="17" numFmtId="4">
    <oc r="D16">
      <v>318.33240999999998</v>
    </oc>
    <nc r="D16">
      <v>1.6183799999999999</v>
    </nc>
  </rcc>
  <rcc rId="15898" sId="17" numFmtId="4">
    <oc r="C18">
      <v>5</v>
    </oc>
    <nc r="C18">
      <v>10</v>
    </nc>
  </rcc>
  <rcc rId="15899" sId="17" numFmtId="4">
    <oc r="D18">
      <v>11.25</v>
    </oc>
    <nc r="D18">
      <v>0</v>
    </nc>
  </rcc>
  <rcc rId="15900" sId="17" numFmtId="4">
    <oc r="C28">
      <v>60</v>
    </oc>
    <nc r="C28">
      <v>55</v>
    </nc>
  </rcc>
  <rcc rId="15901" sId="17" numFmtId="4">
    <oc r="D28">
      <v>66</v>
    </oc>
    <nc r="D28">
      <v>4.5</v>
    </nc>
  </rcc>
  <rcc rId="15902" sId="17" numFmtId="4">
    <oc r="C30">
      <v>360</v>
    </oc>
    <nc r="C30">
      <v>0</v>
    </nc>
  </rcc>
  <rcc rId="15903" sId="17" numFmtId="4">
    <oc r="D30">
      <v>341.51458000000002</v>
    </oc>
    <nc r="D30">
      <v>26.302569999999999</v>
    </nc>
  </rcc>
  <rcc rId="15904" sId="17" numFmtId="4">
    <oc r="C32">
      <v>4</v>
    </oc>
    <nc r="C32">
      <v>0</v>
    </nc>
  </rcc>
  <rcc rId="15905" sId="17" numFmtId="4">
    <oc r="D32">
      <v>4.1580000000000004</v>
    </oc>
    <nc r="D32">
      <v>0</v>
    </nc>
  </rcc>
  <rcc rId="15906" sId="17" numFmtId="4">
    <oc r="C39">
      <v>3029</v>
    </oc>
    <nc r="C39">
      <v>3421</v>
    </nc>
  </rcc>
  <rcc rId="15907" sId="17" numFmtId="4">
    <oc r="D39">
      <v>3029</v>
    </oc>
    <nc r="D39">
      <v>285.07799999999997</v>
    </nc>
  </rcc>
  <rcc rId="15908" sId="17" numFmtId="4">
    <oc r="C41">
      <v>830.5</v>
    </oc>
    <nc r="C41">
      <v>0</v>
    </nc>
  </rcc>
  <rcc rId="15909" sId="17" numFmtId="4">
    <oc r="D41">
      <v>830.5</v>
    </oc>
    <nc r="D41">
      <v>0</v>
    </nc>
  </rcc>
  <rcc rId="15910" sId="17" numFmtId="4">
    <oc r="C42">
      <v>1262.047</v>
    </oc>
    <nc r="C42">
      <v>834.51</v>
    </nc>
  </rcc>
  <rcc rId="15911" sId="17" numFmtId="4">
    <oc r="D42">
      <v>1262.047</v>
    </oc>
    <nc r="D42">
      <v>0</v>
    </nc>
  </rcc>
  <rcc rId="15912" sId="17" numFmtId="4">
    <oc r="C43">
      <v>182.65700000000001</v>
    </oc>
    <nc r="C43">
      <v>183.38800000000001</v>
    </nc>
  </rcc>
  <rcc rId="15913" sId="17" numFmtId="4">
    <oc r="D43">
      <v>182.65700000000001</v>
    </oc>
    <nc r="D43">
      <v>14.933299999999999</v>
    </nc>
  </rcc>
  <rcc rId="15914" sId="17" numFmtId="4">
    <oc r="D51">
      <v>190</v>
    </oc>
    <nc r="D51">
      <v>0</v>
    </nc>
  </rcc>
  <rfmt sheetId="17" sqref="C38">
    <dxf>
      <numFmt numFmtId="2" formatCode="0.00"/>
    </dxf>
  </rfmt>
  <rfmt sheetId="17" sqref="C38">
    <dxf>
      <numFmt numFmtId="183" formatCode="0.000"/>
    </dxf>
  </rfmt>
  <rfmt sheetId="17" sqref="C38">
    <dxf>
      <numFmt numFmtId="174" formatCode="0.0000"/>
    </dxf>
  </rfmt>
  <rfmt sheetId="17" sqref="C38">
    <dxf>
      <numFmt numFmtId="168" formatCode="0.00000"/>
    </dxf>
  </rfmt>
  <rcc rId="15915" sId="17" numFmtId="4">
    <oc r="C50">
      <v>240.46700000000001</v>
    </oc>
    <nc r="C50"/>
  </rcc>
  <rcc rId="15916" sId="17" numFmtId="4">
    <oc r="D50">
      <v>240.46700000000001</v>
    </oc>
    <nc r="D50"/>
  </rcc>
  <rcc rId="15917" sId="17" numFmtId="34">
    <oc r="C59">
      <v>1352.0419999999999</v>
    </oc>
    <nc r="C59">
      <v>1339.662</v>
    </nc>
  </rcc>
  <rcc rId="15918" sId="17" numFmtId="34">
    <oc r="D59">
      <v>1328.1765</v>
    </oc>
    <nc r="D59">
      <v>31.869700000000002</v>
    </nc>
  </rcc>
  <rcc rId="15919" sId="17" numFmtId="34">
    <oc r="C62">
      <v>0</v>
    </oc>
    <nc r="C62">
      <v>34</v>
    </nc>
  </rcc>
  <rcc rId="15920" sId="17" numFmtId="34">
    <oc r="C64">
      <v>58.408000000000001</v>
    </oc>
    <nc r="C64">
      <v>4.2</v>
    </nc>
  </rcc>
  <rcc rId="15921" sId="17" numFmtId="34">
    <oc r="D64">
      <v>58.408000000000001</v>
    </oc>
    <nc r="D64">
      <v>0</v>
    </nc>
  </rcc>
  <rcc rId="15922" sId="17" numFmtId="34">
    <oc r="C66">
      <v>179.892</v>
    </oc>
    <nc r="C66">
      <v>179.208</v>
    </nc>
  </rcc>
  <rcc rId="15923" sId="17" numFmtId="34">
    <oc r="D66">
      <v>179.892</v>
    </oc>
    <nc r="D66">
      <v>4</v>
    </nc>
  </rcc>
  <rcc rId="15924" sId="17" numFmtId="34">
    <oc r="C70">
      <v>2.7031100000000001</v>
    </oc>
    <nc r="C70">
      <v>2</v>
    </nc>
  </rcc>
  <rcc rId="15925" sId="17" numFmtId="34">
    <oc r="D70">
      <v>2.7031100000000001</v>
    </oc>
    <nc r="D70">
      <v>0</v>
    </nc>
  </rcc>
  <rcc rId="15926" sId="17" numFmtId="34">
    <oc r="C71">
      <v>14</v>
    </oc>
    <nc r="C71">
      <v>8</v>
    </nc>
  </rcc>
  <rcc rId="15927" sId="17" numFmtId="34">
    <oc r="D71">
      <v>10.25493</v>
    </oc>
    <nc r="D71">
      <v>1.5</v>
    </nc>
  </rcc>
  <rcc rId="15928" sId="17" numFmtId="34">
    <oc r="D72">
      <v>2</v>
    </oc>
    <nc r="D72">
      <v>0</v>
    </nc>
  </rcc>
  <rcc rId="15929" sId="17" numFmtId="34">
    <oc r="C74">
      <v>6.7024999999999997</v>
    </oc>
    <nc r="C74">
      <v>10.021000000000001</v>
    </nc>
  </rcc>
  <rcc rId="15930" sId="17" numFmtId="34">
    <oc r="D74">
      <v>6.7024999999999997</v>
    </oc>
    <nc r="D74">
      <v>0</v>
    </nc>
  </rcc>
  <rcc rId="15931" sId="17" numFmtId="34">
    <oc r="C75">
      <v>433.6</v>
    </oc>
    <nc r="C75">
      <v>100</v>
    </nc>
  </rcc>
  <rcc rId="15932" sId="17" numFmtId="34">
    <oc r="D75">
      <v>361.36799999999999</v>
    </oc>
    <nc r="D75">
      <v>0</v>
    </nc>
  </rcc>
  <rcc rId="15933" sId="17" numFmtId="34">
    <oc r="C76">
      <v>1977.3460500000001</v>
    </oc>
    <nc r="C76">
      <v>1388.54</v>
    </nc>
  </rcc>
  <rcc rId="15934" sId="17" numFmtId="34">
    <oc r="D76">
      <v>1977.3460500000001</v>
    </oc>
    <nc r="D76">
      <v>0</v>
    </nc>
  </rcc>
  <rcc rId="15935" sId="17" numFmtId="34">
    <oc r="C77">
      <v>66</v>
    </oc>
    <nc r="C77">
      <v>0</v>
    </nc>
  </rcc>
  <rcc rId="15936" sId="17" numFmtId="34">
    <oc r="D77">
      <v>66</v>
    </oc>
    <nc r="D77">
      <v>0</v>
    </nc>
  </rcc>
  <rcc rId="15937" sId="17" numFmtId="34">
    <oc r="C81">
      <v>633.26700000000005</v>
    </oc>
    <nc r="C81">
      <v>464.697</v>
    </nc>
  </rcc>
  <rcc rId="15938" sId="17" numFmtId="34">
    <oc r="D81">
      <v>633.1</v>
    </oc>
    <nc r="D81">
      <v>0</v>
    </nc>
  </rcc>
  <rcc rId="15939" sId="17" numFmtId="34">
    <oc r="C83">
      <v>2744.0838899999999</v>
    </oc>
    <nc r="C83">
      <v>2102</v>
    </nc>
  </rcc>
  <rcc rId="15940" sId="17" numFmtId="34">
    <oc r="D83">
      <v>2728.1692400000002</v>
    </oc>
    <nc r="D83">
      <v>113.18692</v>
    </nc>
  </rcc>
  <rcc rId="15941" sId="17" numFmtId="34">
    <oc r="C90">
      <v>27</v>
    </oc>
    <nc r="C90">
      <v>2</v>
    </nc>
  </rcc>
  <rcc rId="15942" sId="17" numFmtId="34">
    <oc r="D90">
      <v>27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fmt sheetId="8" sqref="C40">
    <dxf>
      <numFmt numFmtId="1" formatCode="0"/>
    </dxf>
  </rfmt>
  <rfmt sheetId="8" sqref="C40">
    <dxf>
      <numFmt numFmtId="166" formatCode="0.0"/>
    </dxf>
  </rfmt>
  <rfmt sheetId="8" sqref="C40">
    <dxf>
      <numFmt numFmtId="2" formatCode="0.00"/>
    </dxf>
  </rfmt>
  <rfmt sheetId="8" sqref="C40">
    <dxf>
      <numFmt numFmtId="183" formatCode="0.000"/>
    </dxf>
  </rfmt>
  <rfmt sheetId="8" sqref="C40">
    <dxf>
      <numFmt numFmtId="174" formatCode="0.0000"/>
    </dxf>
  </rfmt>
  <rfmt sheetId="8" sqref="C40">
    <dxf>
      <numFmt numFmtId="168" formatCode="0.00000"/>
    </dxf>
  </rfmt>
  <rfmt sheetId="8" sqref="C40">
    <dxf>
      <numFmt numFmtId="173" formatCode="0.000000"/>
    </dxf>
  </rfmt>
  <rfmt sheetId="8" sqref="C40">
    <dxf>
      <numFmt numFmtId="177" formatCode="0.0000000"/>
    </dxf>
  </rfmt>
  <rfmt sheetId="8" sqref="C40">
    <dxf>
      <numFmt numFmtId="173" formatCode="0.000000"/>
    </dxf>
  </rfmt>
  <rfmt sheetId="8" sqref="C40">
    <dxf>
      <numFmt numFmtId="168" formatCode="0.00000"/>
    </dxf>
  </rfmt>
  <rcc rId="15059" sId="8" numFmtId="4">
    <oc r="C46">
      <v>79.134</v>
    </oc>
    <nc r="C46">
      <v>0</v>
    </nc>
  </rcc>
  <rcc rId="15060" sId="8" numFmtId="4">
    <oc r="D46">
      <v>88.924000000000007</v>
    </oc>
    <nc r="D46">
      <v>0</v>
    </nc>
  </rcc>
  <rfmt sheetId="8" sqref="D40">
    <dxf>
      <numFmt numFmtId="2" formatCode="0.00"/>
    </dxf>
  </rfmt>
  <rfmt sheetId="8" sqref="D40">
    <dxf>
      <numFmt numFmtId="183" formatCode="0.000"/>
    </dxf>
  </rfmt>
  <rfmt sheetId="8" sqref="D40">
    <dxf>
      <numFmt numFmtId="174" formatCode="0.0000"/>
    </dxf>
  </rfmt>
  <rfmt sheetId="8" sqref="D51">
    <dxf>
      <numFmt numFmtId="172" formatCode="#,##0.00000"/>
    </dxf>
  </rfmt>
  <rfmt sheetId="8" sqref="D51">
    <dxf>
      <numFmt numFmtId="179" formatCode="#,##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5973" sId="18">
    <oc r="A1" t="inlineStr">
      <is>
        <t xml:space="preserve">                     Анализ исполнения бюджета Ярабайкасинского сельского поселения на 01.01.2020 г.</t>
      </is>
    </oc>
    <nc r="A1" t="inlineStr">
      <is>
        <t xml:space="preserve">                     Анализ исполнения бюджета Ярабайкасинского сельского поселения на 01.02.2020 г.</t>
      </is>
    </nc>
  </rcc>
  <rcc rId="15974" sId="18">
    <oc r="C3" t="inlineStr">
      <is>
        <t>назначено на 2019 г.</t>
      </is>
    </oc>
    <nc r="C3" t="inlineStr">
      <is>
        <t>назначено на 2020 г.</t>
      </is>
    </nc>
  </rcc>
  <rcc rId="15975" sId="18">
    <oc r="D3" t="inlineStr">
      <is>
        <t>исполнен на 01.01.2020 г.</t>
      </is>
    </oc>
    <nc r="D3" t="inlineStr">
      <is>
        <t>исполнен на 01.02.2020 г.</t>
      </is>
    </nc>
  </rcc>
  <rcc rId="15976" sId="18">
    <oc r="C55" t="inlineStr">
      <is>
        <t>назначено на 2019 г.</t>
      </is>
    </oc>
    <nc r="C55" t="inlineStr">
      <is>
        <t>назначено на 2020 г.</t>
      </is>
    </nc>
  </rcc>
  <rcc rId="15977" sId="18">
    <oc r="D55" t="inlineStr">
      <is>
        <t>исполнено на 01.01.2020 г.</t>
      </is>
    </oc>
    <nc r="D55" t="inlineStr">
      <is>
        <t>исполнено на 01.02.2020 г.</t>
      </is>
    </nc>
  </rcc>
  <rcc rId="15978" sId="18" numFmtId="4">
    <oc r="C6">
      <v>112.337</v>
    </oc>
    <nc r="C6">
      <v>114.5</v>
    </nc>
  </rcc>
  <rcc rId="15979" sId="18" numFmtId="4">
    <oc r="D6">
      <v>111.28225</v>
    </oc>
    <nc r="D6">
      <v>18.425709999999999</v>
    </nc>
  </rcc>
  <rcc rId="15980" sId="18" numFmtId="4">
    <oc r="C8">
      <v>274.90499999999997</v>
    </oc>
    <nc r="C8">
      <v>319.45999999999998</v>
    </nc>
  </rcc>
  <rcc rId="15981" sId="18" numFmtId="4">
    <oc r="D8">
      <v>407.41361999999998</v>
    </oc>
    <nc r="D8">
      <v>32.425939999999997</v>
    </nc>
  </rcc>
  <rcc rId="15982" sId="18" numFmtId="4">
    <oc r="C9">
      <v>2.948</v>
    </oc>
    <nc r="C9">
      <v>3.43</v>
    </nc>
  </rcc>
  <rcc rId="15983" sId="18" numFmtId="4">
    <oc r="D9">
      <v>2.9945900000000001</v>
    </oc>
    <nc r="D9">
      <v>0.22064</v>
    </nc>
  </rcc>
  <rcc rId="15984" sId="18" numFmtId="4">
    <oc r="C10">
      <v>459.15699999999998</v>
    </oc>
    <nc r="C10">
      <v>533.57000000000005</v>
    </nc>
  </rcc>
  <rcc rId="15985" sId="18" numFmtId="4">
    <oc r="D10">
      <v>544.30601000000001</v>
    </oc>
    <nc r="D10">
      <v>44.493380000000002</v>
    </nc>
  </rcc>
  <rcc rId="15986" sId="18" numFmtId="4">
    <oc r="D11">
      <v>-59.659959999999998</v>
    </oc>
    <nc r="D11">
      <v>-5.9610399999999997</v>
    </nc>
  </rcc>
  <rcc rId="15987" sId="18" numFmtId="4">
    <oc r="C13">
      <v>21</v>
    </oc>
    <nc r="C13">
      <v>20</v>
    </nc>
  </rcc>
  <rcc rId="15988" sId="18" numFmtId="4">
    <oc r="D13">
      <v>18.882000000000001</v>
    </oc>
    <nc r="D13">
      <v>2.8584000000000001</v>
    </nc>
  </rcc>
  <rcc rId="15989" sId="18" numFmtId="4">
    <oc r="C15">
      <v>201</v>
    </oc>
    <nc r="C15">
      <v>245</v>
    </nc>
  </rcc>
  <rcc rId="15990" sId="18" numFmtId="4">
    <oc r="D15">
      <v>192.3245</v>
    </oc>
    <nc r="D15">
      <v>10.518549999999999</v>
    </nc>
  </rcc>
  <rcc rId="15991" sId="18" numFmtId="4">
    <oc r="C16">
      <v>1394.3772899999999</v>
    </oc>
    <nc r="C16">
      <v>1250</v>
    </nc>
  </rcc>
  <rcc rId="15992" sId="18" numFmtId="4">
    <oc r="D16">
      <v>1209.8086000000001</v>
    </oc>
    <nc r="D16">
      <v>36.364559999999997</v>
    </nc>
  </rcc>
  <rcc rId="15993" sId="18" numFmtId="4">
    <oc r="C18">
      <v>20</v>
    </oc>
    <nc r="C18">
      <v>15</v>
    </nc>
  </rcc>
  <rcc rId="15994" sId="18" numFmtId="4">
    <oc r="D18">
      <v>20.484999999999999</v>
    </oc>
    <nc r="D18">
      <v>0</v>
    </nc>
  </rcc>
  <rcc rId="15995" sId="18" numFmtId="4">
    <oc r="C27">
      <v>10</v>
    </oc>
    <nc r="C27">
      <v>30</v>
    </nc>
  </rcc>
  <rcc rId="15996" sId="18" numFmtId="4">
    <oc r="D27">
      <v>44.884520000000002</v>
    </oc>
    <nc r="D27">
      <v>0.13100000000000001</v>
    </nc>
  </rcc>
  <rcc rId="15997" sId="18" numFmtId="4">
    <oc r="C31">
      <v>78</v>
    </oc>
    <nc r="C31">
      <v>0</v>
    </nc>
  </rcc>
  <rcc rId="15998" sId="18" numFmtId="4">
    <oc r="D31">
      <v>100.89727999999999</v>
    </oc>
    <nc r="D31">
      <v>0</v>
    </nc>
  </rcc>
  <rcc rId="15999" sId="18" numFmtId="4">
    <oc r="C36">
      <v>120</v>
    </oc>
    <nc r="C36">
      <v>0</v>
    </nc>
  </rcc>
  <rcc rId="16000" sId="18" numFmtId="4">
    <oc r="D36">
      <v>143.00686999999999</v>
    </oc>
    <nc r="D36">
      <v>0</v>
    </nc>
  </rcc>
  <rcc rId="16001" sId="18" numFmtId="4">
    <oc r="C43">
      <v>1174</v>
    </oc>
    <nc r="C43">
      <v>414</v>
    </nc>
  </rcc>
  <rcc rId="16002" sId="18" numFmtId="4">
    <oc r="D43">
      <v>1174</v>
    </oc>
    <nc r="D43">
      <v>0</v>
    </nc>
  </rcc>
  <rcc rId="16003" sId="18" numFmtId="4">
    <oc r="C42">
      <v>1852.8</v>
    </oc>
    <nc r="C42">
      <v>2004.7</v>
    </nc>
  </rcc>
  <rcc rId="16004" sId="18" numFmtId="4">
    <oc r="D42">
      <v>1852.8</v>
    </oc>
    <nc r="D42">
      <v>167.05500000000001</v>
    </nc>
  </rcc>
  <rcc rId="16005" sId="18" numFmtId="4">
    <oc r="D44">
      <v>3523.9738299999999</v>
    </oc>
    <nc r="D44">
      <v>0</v>
    </nc>
  </rcc>
  <rcc rId="16006" sId="18" numFmtId="4">
    <oc r="C45">
      <v>182.04300000000001</v>
    </oc>
    <nc r="C45">
      <v>183.387</v>
    </nc>
  </rcc>
  <rcc rId="16007" sId="18" numFmtId="4">
    <oc r="D45">
      <v>182.04300000000001</v>
    </oc>
    <nc r="D45">
      <v>14.933299999999999</v>
    </nc>
  </rcc>
  <rcc rId="16008" sId="18" numFmtId="4">
    <oc r="D51">
      <v>175.58207999999999</v>
    </oc>
    <nc r="D51">
      <v>0</v>
    </nc>
  </rcc>
  <rcc rId="16009" sId="18" numFmtId="4">
    <oc r="C47">
      <v>2984.2269999999999</v>
    </oc>
    <nc r="C47"/>
  </rcc>
  <rcc rId="16010" sId="18" numFmtId="4">
    <oc r="D47">
      <v>2934.4300699999999</v>
    </oc>
    <nc r="D47"/>
  </rcc>
  <rcc rId="16011" sId="18" numFmtId="4">
    <oc r="C44">
      <v>4591.6011500000004</v>
    </oc>
    <nc r="C44">
      <v>1320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c rId="16369" sId="2" numFmtId="4">
    <oc r="C32">
      <v>182691.54818000001</v>
    </oc>
    <nc r="C32">
      <v>102837.50301</v>
    </nc>
  </rcc>
  <rcc rId="16370" sId="2" numFmtId="4">
    <oc r="D32">
      <v>147056.26668</v>
    </oc>
    <nc r="D32">
      <v>4589.99809</v>
    </nc>
  </rcc>
  <rfmt sheetId="2" sqref="CD14:CD29">
    <dxf>
      <numFmt numFmtId="4" formatCode="#,##0.00"/>
    </dxf>
  </rfmt>
  <rfmt sheetId="2" sqref="CD14:CD29">
    <dxf>
      <numFmt numFmtId="187" formatCode="#,##0.000"/>
    </dxf>
  </rfmt>
  <rfmt sheetId="2" sqref="CD14:CD29">
    <dxf>
      <numFmt numFmtId="186" formatCode="#,##0.0000"/>
    </dxf>
  </rfmt>
  <rfmt sheetId="2" sqref="CD14:CD29">
    <dxf>
      <numFmt numFmtId="172" formatCode="#,##0.00000"/>
    </dxf>
  </rfmt>
  <rcc rId="16371" sId="16" numFmtId="4">
    <oc r="D41">
      <v>34.616</v>
    </oc>
    <nc r="D41">
      <v>34.616100000000003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6481" sId="2" numFmtId="4">
    <oc r="DG32">
      <v>190266.42004999999</v>
    </oc>
    <nc r="DG32">
      <v>103487.76155</v>
    </nc>
  </rcc>
  <rcc rId="16482" sId="2" numFmtId="4">
    <oc r="DH32">
      <v>146774.31732999999</v>
    </oc>
    <nc r="DH32">
      <v>2974.8039600000002</v>
    </nc>
  </rcc>
  <rcc rId="16483" sId="2" numFmtId="4">
    <oc r="DJ32">
      <v>23916.403389999999</v>
    </oc>
    <nc r="DJ32">
      <v>23878.172999999999</v>
    </nc>
  </rcc>
  <rcc rId="16484" sId="2" numFmtId="4">
    <oc r="DK32">
      <v>23642.26468</v>
    </oc>
    <nc r="DK32">
      <v>594.39980000000003</v>
    </nc>
  </rcc>
  <rcc rId="16485" sId="2" numFmtId="4">
    <oc r="DM32">
      <v>23230.061890000001</v>
    </oc>
    <nc r="DM32">
      <v>23100.462</v>
    </nc>
  </rcc>
  <rcc rId="16486" sId="2" numFmtId="4">
    <oc r="DN32">
      <v>23076.361110000002</v>
    </oc>
    <nc r="DN32">
      <v>594.39980000000003</v>
    </nc>
  </rcc>
  <rcc rId="16487" sId="2" numFmtId="4">
    <oc r="DP32">
      <v>20.13</v>
    </oc>
    <nc r="DP32">
      <v>559.51700000000005</v>
    </nc>
  </rcc>
  <rcc rId="16488" sId="2" numFmtId="4">
    <oc r="DQ32">
      <v>20.13</v>
    </oc>
    <nc r="DQ32">
      <v>0</v>
    </nc>
  </rcc>
  <rcc rId="16489" sId="2" numFmtId="4">
    <oc r="DS32">
      <v>68</v>
    </oc>
    <nc r="DS32">
      <v>130</v>
    </nc>
  </rcc>
  <rcc rId="16490" sId="2" numFmtId="4">
    <oc r="DV32">
      <v>598.2115</v>
    </oc>
    <nc r="DV32">
      <v>88.194000000000003</v>
    </nc>
  </rcc>
  <rcc rId="16491" sId="2" numFmtId="4">
    <oc r="DW32">
      <v>545.77356999999995</v>
    </oc>
    <nc r="DW32">
      <v>0</v>
    </nc>
  </rcc>
  <rcc rId="16492" sId="2" numFmtId="4">
    <oc r="DY32">
      <v>2158.6999999999998</v>
    </oc>
    <nc r="DY32">
      <v>2150.5</v>
    </nc>
  </rcc>
  <rcc rId="16493" sId="2" numFmtId="4">
    <oc r="DZ32">
      <v>2158.6999999999998</v>
    </oc>
    <nc r="DZ32">
      <v>51.6</v>
    </nc>
  </rcc>
  <rcc rId="16494" sId="2" numFmtId="4">
    <oc r="EB32">
      <v>419.12914000000001</v>
    </oc>
    <nc r="EB32">
      <v>244</v>
    </nc>
  </rcc>
  <rcc rId="16495" sId="2" numFmtId="4">
    <oc r="EC32">
      <v>411.16521999999998</v>
    </oc>
    <nc r="EC32">
      <v>5.5</v>
    </nc>
  </rcc>
  <rcc rId="16496" sId="2" numFmtId="4">
    <oc r="EE32">
      <v>60794.13927</v>
    </oc>
    <nc r="EE32">
      <v>32596.46515</v>
    </nc>
  </rcc>
  <rcc rId="16497" sId="2" numFmtId="4">
    <oc r="EF32">
      <v>56602.017570000004</v>
    </oc>
    <nc r="EF32">
      <v>263.64665000000002</v>
    </nc>
  </rcc>
  <rcc rId="16498" sId="2" numFmtId="4">
    <oc r="EH32">
      <v>62016.402779999997</v>
    </oc>
    <nc r="EH32">
      <v>17948.446400000001</v>
    </nc>
  </rcc>
  <rcc rId="16499" sId="2" numFmtId="4">
    <oc r="EI32">
      <v>23985.332340000001</v>
    </oc>
    <nc r="EI32">
      <v>148.09558999999999</v>
    </nc>
  </rcc>
  <rcc rId="16500" sId="2" numFmtId="4">
    <oc r="EK32">
      <v>40705.522539999998</v>
    </oc>
    <nc r="EK32">
      <v>26537.152999999998</v>
    </nc>
  </rcc>
  <rcc rId="16501" sId="2" numFmtId="4">
    <oc r="EL32">
      <v>39740.402520000003</v>
    </oc>
    <nc r="EL32">
      <v>1909.3119200000001</v>
    </nc>
  </rcc>
  <rcc rId="16502" sId="2" numFmtId="4">
    <oc r="EQ32">
      <v>256.12293</v>
    </oc>
    <nc r="EQ32">
      <v>133.024</v>
    </nc>
  </rcc>
  <rcc rId="16503" sId="2" numFmtId="4">
    <oc r="ER32">
      <v>234.435</v>
    </oc>
    <nc r="ER32">
      <v>2.25</v>
    </nc>
  </rcc>
  <rcc rId="16504" sId="2" numFmtId="4">
    <oc r="EX32">
      <v>281.94934999999998</v>
    </oc>
    <nc r="EX32">
      <v>1615.1941300000001</v>
    </nc>
  </rcc>
  <rcc rId="16505" sId="12" numFmtId="34">
    <oc r="C58">
      <v>1182.0170000000001</v>
    </oc>
    <nc r="C58">
      <v>1145.7</v>
    </nc>
  </rcc>
  <rcc rId="16506" sId="2" numFmtId="4">
    <oc r="EW32">
      <v>-7574.8718699999999</v>
    </oc>
    <nc r="EW32">
      <v>-650.25854000000004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D27" start="0" length="2147483647">
    <dxf>
      <font>
        <color theme="1"/>
      </font>
    </dxf>
  </rfmt>
  <rrc rId="20500" sId="1" ref="A28:XFD28" action="insertRow">
    <undo index="2" exp="area" ref3D="1" dr="$A$43:$XFD$45" dn="Z_B30CE22D_C12F_4E12_8BB9_3AAE0A6991CC_.wvu.Rows" sId="1"/>
    <undo index="4" exp="area" ref3D="1" dr="$A$82:$XFD$84" dn="Z_B31C8DB7_3E78_4144_A6B5_8DE36DE63F0E_.wvu.Rows" sId="1"/>
    <undo index="2" exp="area" ref3D="1" dr="$A$43:$XFD$45" dn="Z_B31C8DB7_3E78_4144_A6B5_8DE36DE63F0E_.wvu.Rows" sId="1"/>
    <undo index="2" exp="area" ref3D="1" dr="$A$43:$XFD$45" dn="Z_A54C432C_6C68_4B53_A75C_446EB3A61B2B_.wvu.Rows" sId="1"/>
    <undo index="2" exp="area" ref3D="1" dr="$A$43:$XFD$45" dn="Z_61528DAC_5C4C_48F4_ADE2_8A724B05A086_.wvu.Rows" sId="1"/>
    <undo index="4" exp="area" ref3D="1" dr="$A$82:$XFD$84" dn="Z_5BFCA170_DEAE_4D2C_98A0_1E68B427AC01_.wvu.Rows" sId="1"/>
    <undo index="2" exp="area" ref3D="1" dr="$A$43:$XFD$45" dn="Z_5BFCA170_DEAE_4D2C_98A0_1E68B427AC01_.wvu.Rows" sId="1"/>
    <undo index="2" exp="area" ref3D="1" dr="$A$43:$XFD$45" dn="Z_42584DC0_1D41_4C93_9B38_C388E7B8DAC4_.wvu.Rows" sId="1"/>
    <undo index="4" exp="area" ref3D="1" dr="$A$82:$XFD$84" dn="Z_3DCB9AAA_F09C_4EA6_B992_F93E466D374A_.wvu.Rows" sId="1"/>
    <undo index="2" exp="area" ref3D="1" dr="$A$43:$XFD$45" dn="Z_3DCB9AAA_F09C_4EA6_B992_F93E466D374A_.wvu.Rows" sId="1"/>
    <undo index="4" exp="area" ref3D="1" dr="$A$82:$XFD$84" dn="Z_1A52382B_3765_4E8C_903F_6B8919B7242E_.wvu.Rows" sId="1"/>
    <undo index="2" exp="area" ref3D="1" dr="$A$43:$XFD$45" dn="Z_1A52382B_3765_4E8C_903F_6B8919B7242E_.wvu.Rows" sId="1"/>
    <undo index="2" exp="area" ref3D="1" dr="$A$43:$XFD$45" dn="Z_1718F1EE_9F48_4DBE_9531_3B70F9C4A5DD_.wvu.Rows" sId="1"/>
  </rrc>
  <rcc rId="20501" sId="1">
    <nc r="F28">
      <f>814297.9024-F27</f>
    </nc>
  </rcc>
  <rcc rId="20502" sId="1">
    <nc r="G28">
      <f>24575.623-G27</f>
    </nc>
  </rcc>
  <rcc rId="20503" sId="3" numFmtId="4">
    <oc r="C65">
      <v>227331.5624</v>
    </oc>
    <nc r="C65">
      <v>248206.1624</v>
    </nc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9096" sId="16" numFmtId="4">
    <oc r="D6">
      <v>4.1180599999999998</v>
    </oc>
    <nc r="D6">
      <v>19.005279999999999</v>
    </nc>
  </rcc>
  <rcc rId="19097" sId="16" numFmtId="4">
    <oc r="D8">
      <v>23.092649999999999</v>
    </oc>
    <nc r="D8">
      <v>42.73563</v>
    </nc>
  </rcc>
  <rcc rId="19098" sId="16" numFmtId="4">
    <oc r="D9">
      <v>0.15712999999999999</v>
    </oc>
    <nc r="D9">
      <v>0.26780999999999999</v>
    </nc>
  </rcc>
  <rcc rId="19099" sId="16" numFmtId="4">
    <oc r="D10">
      <v>31.686679999999999</v>
    </oc>
    <nc r="D10">
      <v>61.173319999999997</v>
    </nc>
  </rcc>
  <rcc rId="19100" sId="16" numFmtId="4">
    <oc r="D11">
      <v>-4.2452500000000004</v>
    </oc>
    <nc r="D11">
      <v>-8.3431700000000006</v>
    </nc>
  </rcc>
  <rcc rId="19101" sId="16" numFmtId="4">
    <oc r="D15">
      <v>1.79209</v>
    </oc>
    <nc r="D15">
      <v>3.1251099999999998</v>
    </nc>
  </rcc>
  <rcc rId="19102" sId="16" numFmtId="4">
    <oc r="D16">
      <v>26.432449999999999</v>
    </oc>
    <nc r="D16">
      <v>233.93723</v>
    </nc>
  </rcc>
  <rcc rId="19103" sId="16" numFmtId="4">
    <oc r="D27">
      <v>0</v>
    </oc>
    <nc r="D27">
      <v>34.602020000000003</v>
    </nc>
  </rcc>
  <rcc rId="19104" sId="16" numFmtId="4">
    <oc r="D28">
      <v>1.3547499999999999</v>
    </oc>
    <nc r="D28">
      <v>8.2885200000000001</v>
    </nc>
  </rcc>
  <rcc rId="19105" sId="16" numFmtId="4">
    <oc r="D30">
      <v>7.1010799999999996</v>
    </oc>
    <nc r="D30">
      <v>10.142390000000001</v>
    </nc>
  </rcc>
  <rcc rId="19106" sId="16" numFmtId="4">
    <oc r="D41">
      <v>34.616100000000003</v>
    </oc>
    <nc r="D41">
      <v>69.232200000000006</v>
    </nc>
  </rcc>
  <rcc rId="19107" sId="16" numFmtId="4">
    <oc r="D43">
      <v>0</v>
    </oc>
    <nc r="D43">
      <v>133.65899999999999</v>
    </nc>
  </rcc>
  <rcc rId="19108" sId="16" numFmtId="4">
    <oc r="D44">
      <v>7.4667000000000003</v>
    </oc>
    <nc r="D44">
      <v>14.933400000000001</v>
    </nc>
  </rcc>
  <rcc rId="19109" sId="16" numFmtId="34">
    <oc r="D57">
      <v>28.145029999999998</v>
    </oc>
    <nc r="D57">
      <v>135.47792999999999</v>
    </nc>
  </rcc>
  <rcc rId="19110" sId="16" numFmtId="34">
    <oc r="D64">
      <v>2</v>
    </oc>
    <nc r="D64">
      <v>9.8966399999999997</v>
    </nc>
  </rcc>
  <rcc rId="19111" sId="16" numFmtId="34">
    <oc r="C73">
      <v>170</v>
    </oc>
    <nc r="C73">
      <v>355.9</v>
    </nc>
  </rcc>
  <rcc rId="19112" sId="16" numFmtId="34">
    <oc r="D73">
      <v>35</v>
    </oc>
    <nc r="D73">
      <v>70</v>
    </nc>
  </rcc>
  <rcc rId="19113" sId="16" numFmtId="34">
    <oc r="D74">
      <v>14.851000000000001</v>
    </oc>
    <nc r="D74">
      <v>148.51</v>
    </nc>
  </rcc>
  <rcc rId="19114" sId="16" numFmtId="34">
    <oc r="D79">
      <v>3</v>
    </oc>
    <nc r="D79">
      <v>4.5999999999999996</v>
    </nc>
  </rcc>
  <rcc rId="19115" sId="16" numFmtId="34">
    <oc r="D81">
      <v>88.26</v>
    </oc>
    <nc r="D81">
      <v>176.52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19999" sId="1" numFmtId="4">
    <oc r="D24">
      <v>30181.744999999999</v>
    </oc>
    <nc r="D24">
      <v>51931.491679999999</v>
    </nc>
  </rcc>
  <rfmt sheetId="1" sqref="C27:D28">
    <dxf>
      <numFmt numFmtId="2" formatCode="0.00"/>
    </dxf>
  </rfmt>
  <rfmt sheetId="1" sqref="C27:D28">
    <dxf>
      <numFmt numFmtId="183" formatCode="0.000"/>
    </dxf>
  </rfmt>
  <rfmt sheetId="1" sqref="C27:D28">
    <dxf>
      <numFmt numFmtId="174" formatCode="0.0000"/>
    </dxf>
  </rfmt>
  <rfmt sheetId="1" sqref="C27:D28">
    <dxf>
      <numFmt numFmtId="168" formatCode="0.00000"/>
    </dxf>
  </rfmt>
  <rfmt sheetId="1" sqref="F27:G28 I27:J28">
    <dxf>
      <numFmt numFmtId="2" formatCode="0.00"/>
    </dxf>
  </rfmt>
  <rfmt sheetId="1" sqref="F27:G28 I27:J28">
    <dxf>
      <numFmt numFmtId="183" formatCode="0.000"/>
    </dxf>
  </rfmt>
  <rfmt sheetId="1" sqref="F27:G28 I27:J28">
    <dxf>
      <numFmt numFmtId="174" formatCode="0.0000"/>
    </dxf>
  </rfmt>
  <rfmt sheetId="1" sqref="F27:G28 I27:J28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c rId="16673" sId="3" numFmtId="4">
    <oc r="D77">
      <v>50</v>
    </oc>
    <nc r="D77">
      <v>0</v>
    </nc>
  </rcc>
  <rcc rId="16674" sId="3" numFmtId="4">
    <oc r="C78">
      <v>23249.404999999999</v>
    </oc>
    <nc r="C78">
      <v>22970.6</v>
    </nc>
  </rcc>
  <rcc rId="16675" sId="3" numFmtId="4">
    <oc r="D78">
      <v>23137.70737</v>
    </oc>
    <nc r="D78">
      <v>437.96341999999999</v>
    </nc>
  </rcc>
  <rcc rId="16676" sId="3" numFmtId="4">
    <oc r="C79">
      <v>10.5</v>
    </oc>
    <nc r="C79">
      <v>15.9</v>
    </nc>
  </rcc>
  <rcc rId="16677" sId="3" numFmtId="4">
    <oc r="D79">
      <v>10.5</v>
    </oc>
    <nc r="D79">
      <v>0</v>
    </nc>
  </rcc>
  <rcc rId="16678" sId="3" numFmtId="4">
    <oc r="C80">
      <v>5289.0029999999997</v>
    </oc>
    <nc r="C80">
      <v>5278.8</v>
    </nc>
  </rcc>
  <rcc rId="16679" sId="3" numFmtId="4">
    <oc r="D80">
      <v>5176.2359399999996</v>
    </oc>
    <nc r="D80">
      <v>350.39904000000001</v>
    </nc>
  </rcc>
  <rcc rId="16680" sId="3" numFmtId="4">
    <oc r="C81">
      <v>75.599999999999994</v>
    </oc>
    <nc r="C81">
      <v>1000</v>
    </nc>
  </rcc>
  <rcc rId="16681" sId="3" numFmtId="4">
    <oc r="D81">
      <v>75.599999999999994</v>
    </oc>
    <nc r="D81">
      <v>0</v>
    </nc>
  </rcc>
  <rcc rId="16682" sId="3" numFmtId="4">
    <oc r="C82">
      <v>2613.7501200000002</v>
    </oc>
    <nc r="C82">
      <v>2367.9569999999999</v>
    </nc>
  </rcc>
  <rcc rId="16683" sId="3" numFmtId="4">
    <oc r="C83">
      <v>18332.12803</v>
    </oc>
    <nc r="C83">
      <v>18215.5</v>
    </nc>
  </rcc>
  <rcc rId="16684" sId="3" numFmtId="4">
    <oc r="D83">
      <v>18174.451700000001</v>
    </oc>
    <nc r="D83">
      <v>1392.7380000000001</v>
    </nc>
  </rcc>
  <rcc rId="16685" sId="3" numFmtId="4">
    <oc r="C85">
      <v>2158.6999999999998</v>
    </oc>
    <nc r="C85">
      <v>2150.5</v>
    </nc>
  </rcc>
  <rcc rId="16686" sId="3" numFmtId="4">
    <oc r="D85">
      <v>2158.6999999999998</v>
    </oc>
    <nc r="D85">
      <v>179.2</v>
    </nc>
  </rcc>
  <rcc rId="16687" sId="3" numFmtId="4">
    <oc r="C88">
      <v>1811.2</v>
    </oc>
    <nc r="C88">
      <v>1597.7</v>
    </nc>
  </rcc>
  <rcc rId="16688" sId="3" numFmtId="4">
    <oc r="D88">
      <v>1811.2</v>
    </oc>
    <nc r="D88">
      <v>19</v>
    </nc>
  </rcc>
  <rcc rId="16689" sId="3" numFmtId="4">
    <oc r="C89">
      <v>2493.2476099999999</v>
    </oc>
    <nc r="C89">
      <v>2368.9</v>
    </nc>
  </rcc>
  <rcc rId="16690" sId="3" numFmtId="4">
    <oc r="D89">
      <v>2493.24755</v>
    </oc>
    <nc r="D89">
      <v>59.610489999999999</v>
    </nc>
  </rcc>
  <rcc rId="16691" sId="3" numFmtId="4">
    <oc r="C91">
      <v>10067.291999999999</v>
    </oc>
    <nc r="C91">
      <v>296</v>
    </nc>
  </rcc>
  <rcc rId="16692" sId="3" numFmtId="4">
    <oc r="D91">
      <v>6925.7693900000004</v>
    </oc>
    <nc r="D91">
      <v>0</v>
    </nc>
  </rcc>
  <rcc rId="16693" sId="3" numFmtId="4">
    <oc r="D93">
      <v>200</v>
    </oc>
    <nc r="D93">
      <v>0</v>
    </nc>
  </rcc>
  <rcc rId="16694" sId="3" numFmtId="4">
    <oc r="C95">
      <v>61.3</v>
    </oc>
    <nc r="C95">
      <v>87.9</v>
    </nc>
  </rcc>
  <rcc rId="16695" sId="3" numFmtId="4">
    <oc r="D95">
      <v>54.55</v>
    </oc>
    <nc r="D95">
      <v>0</v>
    </nc>
  </rcc>
  <rcc rId="16696" sId="3" numFmtId="4">
    <oc r="C97">
      <v>186857.753</v>
    </oc>
    <nc r="C97">
      <v>59211.13</v>
    </nc>
  </rcc>
  <rcc rId="16697" sId="3" numFmtId="4">
    <oc r="D97">
      <v>183965.22089999999</v>
    </oc>
    <nc r="D97">
      <v>0</v>
    </nc>
  </rcc>
  <rcc rId="16698" sId="3" numFmtId="4">
    <oc r="C98">
      <v>1268.73</v>
    </oc>
    <nc r="C98">
      <v>829.4</v>
    </nc>
  </rcc>
  <rcc rId="16699" sId="3" numFmtId="4">
    <oc r="D98">
      <v>1191.0217299999999</v>
    </oc>
    <nc r="D98">
      <v>0</v>
    </nc>
  </rcc>
  <rcc rId="16700" sId="3" numFmtId="4">
    <oc r="C100">
      <v>1253.3</v>
    </oc>
    <nc r="C100">
      <v>500</v>
    </nc>
  </rcc>
  <rcc rId="16701" sId="3" numFmtId="4">
    <oc r="D100">
      <v>1110.3218999999999</v>
    </oc>
    <nc r="D100">
      <v>0</v>
    </nc>
  </rcc>
  <rcc rId="16702" sId="3" numFmtId="4">
    <oc r="C101">
      <v>6669.7744000000002</v>
    </oc>
    <nc r="C101">
      <v>8350.7999999999993</v>
    </nc>
  </rcc>
  <rcc rId="16703" sId="3" numFmtId="4">
    <oc r="D101">
      <v>6033.9052499999998</v>
    </oc>
    <nc r="D101">
      <v>0</v>
    </nc>
  </rcc>
  <rcc rId="16704" sId="3" numFmtId="4">
    <oc r="C102">
      <v>46243.362800000003</v>
    </oc>
    <nc r="C102">
      <v>8042.5493999999999</v>
    </nc>
  </rcc>
  <rcc rId="16705" sId="3" numFmtId="4">
    <oc r="D102">
      <v>8915.23711</v>
    </oc>
    <nc r="D102">
      <v>0</v>
    </nc>
  </rcc>
  <rcc rId="16706" sId="3" numFmtId="4">
    <oc r="C104">
      <v>232</v>
    </oc>
    <nc r="C104">
      <v>50</v>
    </nc>
  </rcc>
  <rcc rId="16707" sId="3" numFmtId="4">
    <oc r="D104">
      <v>210.72900000000001</v>
    </oc>
    <nc r="D104">
      <v>0</v>
    </nc>
  </rcc>
  <rcc rId="16708" sId="3" numFmtId="4">
    <oc r="C106">
      <v>102345.23020000001</v>
    </oc>
    <nc r="C106">
      <v>120190.5</v>
    </nc>
  </rcc>
  <rcc rId="16709" sId="3" numFmtId="4">
    <oc r="D106">
      <v>102315.54813</v>
    </oc>
    <nc r="D106">
      <v>7623.0709999999999</v>
    </nc>
  </rcc>
  <rcc rId="16710" sId="3" numFmtId="4">
    <oc r="C107">
      <v>293681.96979</v>
    </oc>
    <nc r="C107">
      <v>335253.8</v>
    </nc>
  </rcc>
  <rcc rId="16711" sId="3" numFmtId="4">
    <oc r="D107">
      <v>277318.33236</v>
    </oc>
    <nc r="D107">
      <v>21578.640309999999</v>
    </nc>
  </rcc>
  <rcc rId="16712" sId="3" numFmtId="4">
    <oc r="C108">
      <v>21726.278620000001</v>
    </oc>
    <nc r="C108">
      <v>21192.13</v>
    </nc>
  </rcc>
  <rcc rId="16713" sId="3" numFmtId="4">
    <oc r="D108">
      <v>21726.278620000001</v>
    </oc>
    <nc r="D108">
      <v>598.42100000000005</v>
    </nc>
  </rcc>
  <rcc rId="16714" sId="3" numFmtId="4">
    <oc r="C109">
      <v>4789.5529999999999</v>
    </oc>
    <nc r="C109">
      <v>5132.8999999999996</v>
    </nc>
  </rcc>
  <rcc rId="16715" sId="3" numFmtId="4">
    <oc r="D109">
      <v>4774.8033699999996</v>
    </oc>
    <nc r="D109">
      <v>0</v>
    </nc>
  </rcc>
  <rcc rId="16716" sId="3" numFmtId="4">
    <oc r="C110">
      <v>2583.3000000000002</v>
    </oc>
    <nc r="C110">
      <v>2612.3000000000002</v>
    </nc>
  </rcc>
  <rcc rId="16717" sId="3" numFmtId="4">
    <oc r="D110">
      <v>2583.1953899999999</v>
    </oc>
    <nc r="D110">
      <v>126.95393</v>
    </nc>
  </rcc>
  <rcc rId="16718" sId="3" numFmtId="4">
    <oc r="C112">
      <v>52405.284160000003</v>
    </oc>
    <nc r="C112">
      <v>67784.525999999998</v>
    </nc>
  </rcc>
  <rcc rId="16719" sId="3" numFmtId="4">
    <oc r="D112">
      <v>51258.297010000002</v>
    </oc>
    <nc r="D112">
      <v>1893.7260000000001</v>
    </nc>
  </rcc>
  <rcc rId="16720" sId="3" numFmtId="4">
    <oc r="C113">
      <v>1504.9079999999999</v>
    </oc>
    <nc r="C113">
      <v>1100</v>
    </nc>
  </rcc>
  <rcc rId="16721" sId="3" numFmtId="4">
    <oc r="C115">
      <v>61.109000000000002</v>
    </oc>
    <nc r="C115">
      <v>60</v>
    </nc>
  </rcc>
  <rcc rId="16722" sId="3" numFmtId="4">
    <oc r="D115">
      <v>61.10859</v>
    </oc>
    <nc r="D115">
      <v>0</v>
    </nc>
  </rcc>
  <rcc rId="16723" sId="3" numFmtId="4">
    <oc r="C116">
      <v>15472.56732</v>
    </oc>
    <nc r="C116">
      <v>9962.7999999999993</v>
    </nc>
  </rcc>
  <rcc rId="16724" sId="3" numFmtId="4">
    <oc r="D116">
      <v>15182.69534</v>
    </oc>
    <nc r="D116">
      <v>104.44499999999999</v>
    </nc>
  </rcc>
  <rcc rId="16725" sId="3" numFmtId="4">
    <oc r="C117">
      <v>26839.703699999998</v>
    </oc>
    <nc r="C117">
      <v>22075.84</v>
    </nc>
  </rcc>
  <rcc rId="16726" sId="3" numFmtId="4">
    <oc r="D117">
      <v>26836.844939999999</v>
    </oc>
    <nc r="D117">
      <v>0</v>
    </nc>
  </rcc>
  <rcc rId="16727" sId="3" numFmtId="4">
    <oc r="C118">
      <v>209.4</v>
    </oc>
    <nc r="C118">
      <v>147.6</v>
    </nc>
  </rcc>
  <rcc rId="16728" sId="3" numFmtId="4">
    <oc r="D118">
      <v>192.93810999999999</v>
    </oc>
    <nc r="D118">
      <v>0</v>
    </nc>
  </rcc>
  <rcc rId="16729" sId="3" numFmtId="4">
    <oc r="C120">
      <v>494.86</v>
    </oc>
    <nc r="C120">
      <v>450</v>
    </nc>
  </rcc>
  <rcc rId="16730" sId="3" numFmtId="4">
    <oc r="D120">
      <v>494.84875</v>
    </oc>
    <nc r="D120">
      <v>10</v>
    </nc>
  </rcc>
  <rcc rId="16731" sId="3" numFmtId="4">
    <oc r="C121">
      <v>6510.3952099999997</v>
    </oc>
    <nc r="C121">
      <v>37170.199999999997</v>
    </nc>
  </rcc>
  <rcc rId="16732" sId="3" numFmtId="4">
    <oc r="D121">
      <v>6510.3952099999997</v>
    </oc>
    <nc r="D121">
      <v>357.92500000000001</v>
    </nc>
  </rcc>
  <rcc rId="16733" sId="3" numFmtId="4">
    <oc r="C126">
      <v>45.14</v>
    </oc>
    <nc r="C126">
      <v>45</v>
    </nc>
  </rcc>
  <rcc rId="16734" sId="3" numFmtId="4">
    <oc r="D126">
      <v>44.067999999999998</v>
    </oc>
    <nc r="D126">
      <v>0</v>
    </nc>
  </rcc>
  <rcc rId="16735" sId="3" numFmtId="4">
    <oc r="C130">
      <v>28294</v>
    </oc>
    <nc r="C130">
      <v>29508</v>
    </nc>
  </rcc>
  <rcc rId="16736" sId="3" numFmtId="4">
    <oc r="D130">
      <v>28294</v>
    </oc>
    <nc r="D130">
      <v>2458.9585000000002</v>
    </nc>
  </rcc>
  <rcc rId="16737" sId="3" numFmtId="4">
    <oc r="C131">
      <v>10023.308000000001</v>
    </oc>
    <nc r="C131">
      <v>4700</v>
    </nc>
  </rcc>
  <rcc rId="16738" sId="3" numFmtId="4">
    <oc r="D131">
      <v>10023.308000000001</v>
    </oc>
    <nc r="D131">
      <v>0</v>
    </nc>
  </rcc>
  <rcc rId="16739" sId="3" numFmtId="4">
    <oc r="C132">
      <v>13328.01684</v>
    </oc>
    <nc r="C132">
      <v>2454.0700000000002</v>
    </nc>
  </rcc>
  <rcc rId="16740" sId="3" numFmtId="4">
    <oc r="D132">
      <v>13196.797479999999</v>
    </oc>
    <nc r="D132">
      <v>0</v>
    </nc>
  </rcc>
  <rcc rId="16741" sId="3" numFmtId="4">
    <oc r="D113">
      <v>1427.2632900000001</v>
    </oc>
    <nc r="D113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19061" sId="3">
    <oc r="E70">
      <f>SUM(D70/C70*100)</f>
    </oc>
    <nc r="E70">
      <f>SUM(D70/C70*100)</f>
    </nc>
  </rcc>
  <rcc rId="19062" sId="3">
    <oc r="E71">
      <f>SUM(D71/C71*100)</f>
    </oc>
    <nc r="E71">
      <f>SUM(D71/C71*100)</f>
    </nc>
  </rcc>
  <rcc rId="19063" sId="3" numFmtId="4">
    <oc r="D56">
      <v>288.93865</v>
    </oc>
    <nc r="D56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</rdn>
  <rdn rId="0" localSheetId="3" customView="1" name="Z_B30CE22D_C12F_4E12_8BB9_3AAE0A6991CC_.wvu.Rows" hidden="1" oldHidden="1">
    <formula>район!$32:$32,район!$51:$51</formula>
    <oldFormula>район!$32:$32,район!$51:$51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3" sqref="C71">
    <dxf>
      <numFmt numFmtId="168" formatCode="0.00000"/>
    </dxf>
  </rfmt>
  <rfmt sheetId="3" sqref="C71">
    <dxf>
      <numFmt numFmtId="174" formatCode="0.0000"/>
    </dxf>
  </rfmt>
  <rfmt sheetId="3" sqref="C71">
    <dxf>
      <numFmt numFmtId="183" formatCode="0.000"/>
    </dxf>
  </rfmt>
  <rfmt sheetId="3" sqref="C71">
    <dxf>
      <numFmt numFmtId="2" formatCode="0.00"/>
    </dxf>
  </rfmt>
  <rfmt sheetId="3" sqref="C71">
    <dxf>
      <numFmt numFmtId="166" formatCode="0.0"/>
    </dxf>
  </rfmt>
  <rfmt sheetId="3" sqref="D71">
    <dxf>
      <numFmt numFmtId="174" formatCode="0.0000"/>
    </dxf>
  </rfmt>
  <rfmt sheetId="3" sqref="D71">
    <dxf>
      <numFmt numFmtId="183" formatCode="0.000"/>
    </dxf>
  </rfmt>
  <rfmt sheetId="3" sqref="D71">
    <dxf>
      <numFmt numFmtId="2" formatCode="0.00"/>
    </dxf>
  </rfmt>
  <rfmt sheetId="3" sqref="D71">
    <dxf>
      <numFmt numFmtId="166" formatCode="0.0"/>
    </dxf>
  </rfmt>
  <rfmt sheetId="3" sqref="C133">
    <dxf>
      <numFmt numFmtId="168" formatCode="0.00000"/>
    </dxf>
  </rfmt>
  <rfmt sheetId="3" sqref="C133">
    <dxf>
      <numFmt numFmtId="174" formatCode="0.0000"/>
    </dxf>
  </rfmt>
  <rfmt sheetId="3" sqref="C133">
    <dxf>
      <numFmt numFmtId="183" formatCode="0.000"/>
    </dxf>
  </rfmt>
  <rfmt sheetId="3" sqref="C133">
    <dxf>
      <numFmt numFmtId="2" formatCode="0.00"/>
    </dxf>
  </rfmt>
  <rfmt sheetId="3" sqref="C133">
    <dxf>
      <numFmt numFmtId="166" formatCode="0.0"/>
    </dxf>
  </rfmt>
  <rfmt sheetId="3" sqref="D133">
    <dxf>
      <numFmt numFmtId="168" formatCode="0.00000"/>
    </dxf>
  </rfmt>
  <rfmt sheetId="3" sqref="D133">
    <dxf>
      <numFmt numFmtId="174" formatCode="0.0000"/>
    </dxf>
  </rfmt>
  <rfmt sheetId="3" sqref="D133">
    <dxf>
      <numFmt numFmtId="183" formatCode="0.000"/>
    </dxf>
  </rfmt>
  <rfmt sheetId="3" sqref="D133">
    <dxf>
      <numFmt numFmtId="2" formatCode="0.00"/>
    </dxf>
  </rfmt>
  <rfmt sheetId="3" sqref="D133">
    <dxf>
      <numFmt numFmtId="166" formatCode="0.0"/>
    </dxf>
  </rfmt>
  <rfmt sheetId="3" sqref="C60">
    <dxf>
      <numFmt numFmtId="174" formatCode="0.0000"/>
    </dxf>
  </rfmt>
  <rfmt sheetId="3" sqref="C60">
    <dxf>
      <numFmt numFmtId="183" formatCode="0.000"/>
    </dxf>
  </rfmt>
  <rfmt sheetId="3" sqref="C60">
    <dxf>
      <numFmt numFmtId="2" formatCode="0.00"/>
    </dxf>
  </rfmt>
  <rfmt sheetId="3" sqref="C60">
    <dxf>
      <numFmt numFmtId="166" formatCode="0.0"/>
    </dxf>
  </rfmt>
  <rfmt sheetId="3" sqref="D60">
    <dxf>
      <numFmt numFmtId="174" formatCode="0.0000"/>
    </dxf>
  </rfmt>
  <rfmt sheetId="3" sqref="D60">
    <dxf>
      <numFmt numFmtId="183" formatCode="0.000"/>
    </dxf>
  </rfmt>
  <rfmt sheetId="3" sqref="D60">
    <dxf>
      <numFmt numFmtId="2" formatCode="0.00"/>
    </dxf>
  </rfmt>
  <rfmt sheetId="3" sqref="D60">
    <dxf>
      <numFmt numFmtId="166" formatCode="0.0"/>
    </dxf>
  </rfmt>
  <rfmt sheetId="3" sqref="D46">
    <dxf>
      <numFmt numFmtId="174" formatCode="0.0000"/>
    </dxf>
  </rfmt>
  <rfmt sheetId="3" sqref="D46">
    <dxf>
      <numFmt numFmtId="183" formatCode="0.000"/>
    </dxf>
  </rfmt>
  <rfmt sheetId="3" sqref="D46">
    <dxf>
      <numFmt numFmtId="2" formatCode="0.00"/>
    </dxf>
  </rfmt>
  <rfmt sheetId="3" sqref="D46">
    <dxf>
      <numFmt numFmtId="166" formatCode="0.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fmt sheetId="3" sqref="C61">
    <dxf>
      <numFmt numFmtId="173" formatCode="0.000000"/>
    </dxf>
  </rfmt>
  <rfmt sheetId="3" sqref="C61">
    <dxf>
      <numFmt numFmtId="168" formatCode="0.00000"/>
    </dxf>
  </rfmt>
  <rfmt sheetId="3" sqref="C61">
    <dxf>
      <numFmt numFmtId="174" formatCode="0.0000"/>
    </dxf>
  </rfmt>
  <rfmt sheetId="3" sqref="C61">
    <dxf>
      <numFmt numFmtId="183" formatCode="0.000"/>
    </dxf>
  </rfmt>
  <rfmt sheetId="3" sqref="C61">
    <dxf>
      <numFmt numFmtId="2" formatCode="0.00"/>
    </dxf>
  </rfmt>
  <rfmt sheetId="3" sqref="C61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fmt sheetId="2" sqref="DK31">
    <dxf>
      <numFmt numFmtId="172" formatCode="#,##0.00000"/>
    </dxf>
  </rfmt>
  <rfmt sheetId="2" sqref="DK31">
    <dxf>
      <numFmt numFmtId="186" formatCode="#,##0.0000"/>
    </dxf>
  </rfmt>
  <rfmt sheetId="2" sqref="DK31">
    <dxf>
      <numFmt numFmtId="187" formatCode="#,##0.000"/>
    </dxf>
  </rfmt>
  <rfmt sheetId="2" sqref="DK31">
    <dxf>
      <numFmt numFmtId="4" formatCode="#,##0.00"/>
    </dxf>
  </rfmt>
  <rfmt sheetId="2" sqref="DK31">
    <dxf>
      <numFmt numFmtId="167" formatCode="#,##0.0"/>
    </dxf>
  </rfmt>
  <rfmt sheetId="2" sqref="CO18:CP18">
    <dxf>
      <numFmt numFmtId="187" formatCode="#,##0.000"/>
    </dxf>
  </rfmt>
  <rfmt sheetId="2" sqref="CO18:CP18">
    <dxf>
      <numFmt numFmtId="4" formatCode="#,##0.00"/>
    </dxf>
  </rfmt>
  <rfmt sheetId="2" sqref="CO18:CP18">
    <dxf>
      <numFmt numFmtId="167" formatCode="#,##0.0"/>
    </dxf>
  </rfmt>
  <rfmt sheetId="2" sqref="CO31:CP31">
    <dxf>
      <numFmt numFmtId="186" formatCode="#,##0.0000"/>
    </dxf>
  </rfmt>
  <rfmt sheetId="2" sqref="CO31:CP31">
    <dxf>
      <numFmt numFmtId="187" formatCode="#,##0.000"/>
    </dxf>
  </rfmt>
  <rfmt sheetId="2" sqref="CO31:CP31">
    <dxf>
      <numFmt numFmtId="4" formatCode="#,##0.00"/>
    </dxf>
  </rfmt>
  <rfmt sheetId="2" sqref="CO31:CP31">
    <dxf>
      <numFmt numFmtId="167" formatCode="#,##0.0"/>
    </dxf>
  </rfmt>
  <rfmt sheetId="2" sqref="CH31">
    <dxf>
      <numFmt numFmtId="187" formatCode="#,##0.000"/>
    </dxf>
  </rfmt>
  <rfmt sheetId="2" sqref="CH31">
    <dxf>
      <numFmt numFmtId="4" formatCode="#,##0.00"/>
    </dxf>
  </rfmt>
  <rfmt sheetId="2" sqref="CH31">
    <dxf>
      <numFmt numFmtId="167" formatCode="#,##0.0"/>
    </dxf>
  </rfmt>
  <rfmt sheetId="3" sqref="C71:D71">
    <dxf>
      <numFmt numFmtId="174" formatCode="0.0000"/>
    </dxf>
  </rfmt>
  <rfmt sheetId="3" sqref="C71:D71">
    <dxf>
      <numFmt numFmtId="183" formatCode="0.000"/>
    </dxf>
  </rfmt>
  <rfmt sheetId="3" sqref="C71:D71">
    <dxf>
      <numFmt numFmtId="2" formatCode="0.00"/>
    </dxf>
  </rfmt>
  <rfmt sheetId="3" sqref="C71:D71">
    <dxf>
      <numFmt numFmtId="166" formatCode="0.0"/>
    </dxf>
  </rfmt>
  <rfmt sheetId="3" sqref="C133:D133">
    <dxf>
      <numFmt numFmtId="174" formatCode="0.0000"/>
    </dxf>
  </rfmt>
  <rfmt sheetId="3" sqref="C133:D133">
    <dxf>
      <numFmt numFmtId="183" formatCode="0.000"/>
    </dxf>
  </rfmt>
  <rfmt sheetId="3" sqref="C133:D133">
    <dxf>
      <numFmt numFmtId="2" formatCode="0.00"/>
    </dxf>
  </rfmt>
  <rfmt sheetId="3" sqref="C133:D133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221.xml><?xml version="1.0" encoding="utf-8"?>
<revisions xmlns="http://schemas.openxmlformats.org/spreadsheetml/2006/main" xmlns:r="http://schemas.openxmlformats.org/officeDocument/2006/relationships">
  <rcc rId="19016" sId="3" numFmtId="4">
    <oc r="D37">
      <v>519.65660000000003</v>
    </oc>
    <nc r="D37">
      <v>1202.33115</v>
    </nc>
  </rcc>
  <rcc rId="19017" sId="3" numFmtId="4">
    <oc r="D38">
      <v>15.37557</v>
    </oc>
    <nc r="D38">
      <v>31.934470000000001</v>
    </nc>
  </rcc>
  <rcc rId="19018" sId="3" numFmtId="4">
    <oc r="D42">
      <v>29.989170000000001</v>
    </oc>
    <nc r="D42">
      <v>83.426879999999997</v>
    </nc>
  </rcc>
  <rcc rId="19019" sId="3" numFmtId="4">
    <oc r="D44">
      <v>0.41383999999999999</v>
    </oc>
    <nc r="D44">
      <v>29.977599999999999</v>
    </nc>
  </rcc>
  <rcc rId="19020" sId="3" numFmtId="4">
    <oc r="D50">
      <v>50.903700000000001</v>
    </oc>
    <nc r="D50">
      <v>69.084389999999999</v>
    </nc>
  </rcc>
  <rcc rId="19021" sId="3" numFmtId="4">
    <oc r="D55">
      <v>15.121729999999999</v>
    </oc>
    <nc r="D55">
      <v>341.86711000000003</v>
    </nc>
  </rcc>
  <rcc rId="19022" sId="3" numFmtId="4">
    <oc r="D56">
      <v>97.959320000000005</v>
    </oc>
    <nc r="D56">
      <v>288.93865</v>
    </nc>
  </rcc>
  <rcc rId="19023" sId="3" numFmtId="4">
    <oc r="D63" t="inlineStr">
      <is>
  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</is>
    </oc>
    <nc r="D63">
      <v>0</v>
    </nc>
  </rcc>
  <rcc rId="19024" sId="3" numFmtId="4">
    <oc r="D64">
      <v>835.6</v>
    </oc>
    <nc r="D64">
      <v>1671.2</v>
    </nc>
  </rcc>
  <rcc rId="19025" sId="3" numFmtId="4">
    <oc r="D65">
      <v>0</v>
    </oc>
    <nc r="D65">
      <v>3778.6010000000001</v>
    </nc>
  </rcc>
  <rcc rId="19026" sId="3" numFmtId="4">
    <oc r="D66">
      <v>29346.145</v>
    </oc>
    <nc r="D66">
      <v>46481.69068</v>
    </nc>
  </rcc>
  <rcc rId="19027" sId="3" numFmtId="4">
    <oc r="D67">
      <v>1896.125</v>
    </oc>
    <nc r="D67">
      <v>3861.35</v>
    </nc>
  </rcc>
  <rcc rId="19028" sId="3">
    <oc r="G71">
      <f>C71-798026.07441</f>
    </oc>
    <nc r="G71"/>
  </rcc>
  <rcc rId="19029" sId="3">
    <oc r="H71">
      <f>D71-379713.41199</f>
    </oc>
    <nc r="H71">
      <f>D71-24575.623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район!$32:$32,район!$51:$51</formula>
    <oldFormula>район!$32:$32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fmt sheetId="2" sqref="G14:G31">
    <dxf>
      <numFmt numFmtId="179" formatCode="#,##0.000000"/>
    </dxf>
  </rfmt>
  <rfmt sheetId="2" sqref="G14:G31">
    <dxf>
      <numFmt numFmtId="172" formatCode="#,##0.00000"/>
    </dxf>
  </rfmt>
  <rfmt sheetId="2" sqref="G14:G31">
    <dxf>
      <numFmt numFmtId="185" formatCode="#,##0.0000"/>
    </dxf>
  </rfmt>
  <rfmt sheetId="2" sqref="G14:G31">
    <dxf>
      <numFmt numFmtId="186" formatCode="#,##0.000"/>
    </dxf>
  </rfmt>
  <rfmt sheetId="2" sqref="G14:G31">
    <dxf>
      <numFmt numFmtId="4" formatCode="#,##0.00"/>
    </dxf>
  </rfmt>
  <rfmt sheetId="2" sqref="G14:G31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</formula>
    <oldFormula>район!$32:$32,район!$51:$51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21131" sId="12">
    <oc r="G51">
      <f>7662.29943-C51</f>
    </oc>
    <nc r="G51"/>
  </rcc>
  <rcc rId="21132" sId="12">
    <oc r="H51">
      <f>1130.4405-D51</f>
    </oc>
    <nc r="H51"/>
  </rcc>
  <rcc rId="21133" sId="12">
    <oc r="G98">
      <f>8096.52307-C98</f>
    </oc>
    <nc r="G98"/>
  </rcc>
  <rcc rId="21134" sId="12">
    <oc r="H98">
      <f>899.25122-D98</f>
    </oc>
    <nc r="H98"/>
  </rcc>
  <rfmt sheetId="13" sqref="D38">
    <dxf>
      <numFmt numFmtId="168" formatCode="0.00000"/>
    </dxf>
  </rfmt>
  <rfmt sheetId="13" sqref="D38">
    <dxf>
      <numFmt numFmtId="174" formatCode="0.0000"/>
    </dxf>
  </rfmt>
  <rfmt sheetId="13" sqref="D38">
    <dxf>
      <numFmt numFmtId="183" formatCode="0.000"/>
    </dxf>
  </rfmt>
  <rfmt sheetId="13" sqref="D38">
    <dxf>
      <numFmt numFmtId="2" formatCode="0.00"/>
    </dxf>
  </rfmt>
  <rfmt sheetId="13" sqref="D38">
    <dxf>
      <numFmt numFmtId="166" formatCode="0.0"/>
    </dxf>
  </rfmt>
  <rfmt sheetId="13" sqref="C49:D49">
    <dxf>
      <numFmt numFmtId="175" formatCode="_(* #,##0.0000_);_(* \(#,##0.0000\);_(* &quot;-&quot;??_);_(@_)"/>
    </dxf>
  </rfmt>
  <rfmt sheetId="13" sqref="C49:D49">
    <dxf>
      <numFmt numFmtId="184" formatCode="_(* #,##0.000_);_(* \(#,##0.000\);_(* &quot;-&quot;??_);_(@_)"/>
    </dxf>
  </rfmt>
  <rfmt sheetId="13" sqref="C49:D49">
    <dxf>
      <numFmt numFmtId="165" formatCode="_(* #,##0.00_);_(* \(#,##0.00\);_(* &quot;-&quot;??_);_(@_)"/>
    </dxf>
  </rfmt>
  <rfmt sheetId="13" sqref="C49:D49">
    <dxf>
      <numFmt numFmtId="169" formatCode="_(* #,##0.0_);_(* \(#,##0.0\);_(* &quot;-&quot;??_);_(@_)"/>
    </dxf>
  </rfmt>
  <rfmt sheetId="13" sqref="C49:D49">
    <dxf>
      <numFmt numFmtId="178" formatCode="_(* #,##0_);_(* \(#,##0\);_(* &quot;-&quot;??_);_(@_)"/>
    </dxf>
  </rfmt>
  <rfmt sheetId="13" sqref="C49:D49">
    <dxf>
      <numFmt numFmtId="169" formatCode="_(* #,##0.0_);_(* \(#,##0.0\);_(* &quot;-&quot;??_);_(@_)"/>
    </dxf>
  </rfmt>
  <rfmt sheetId="13" sqref="D96">
    <dxf>
      <numFmt numFmtId="175" formatCode="_(* #,##0.0000_);_(* \(#,##0.0000\);_(* &quot;-&quot;??_);_(@_)"/>
    </dxf>
  </rfmt>
  <rfmt sheetId="13" sqref="D96">
    <dxf>
      <numFmt numFmtId="184" formatCode="_(* #,##0.000_);_(* \(#,##0.000\);_(* &quot;-&quot;??_);_(@_)"/>
    </dxf>
  </rfmt>
  <rfmt sheetId="13" sqref="D96">
    <dxf>
      <numFmt numFmtId="165" formatCode="_(* #,##0.00_);_(* \(#,##0.00\);_(* &quot;-&quot;??_);_(@_)"/>
    </dxf>
  </rfmt>
  <rfmt sheetId="13" sqref="D96">
    <dxf>
      <numFmt numFmtId="169" formatCode="_(* #,##0.0_);_(* \(#,##0.0\);_(* &quot;-&quot;??_);_(@_)"/>
    </dxf>
  </rfmt>
  <rfmt sheetId="13" sqref="C96">
    <dxf>
      <numFmt numFmtId="2" formatCode="0.00"/>
    </dxf>
  </rfmt>
  <rfmt sheetId="13" sqref="C96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c rId="19757" sId="2">
    <oc r="CS19">
      <f>Мос!D51</f>
    </oc>
    <nc r="CS19">
      <f>Мос!D47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rc rId="20128" sId="1" ref="A28:XFD28" action="insertRow">
    <undo index="4" exp="area" ref3D="1" dr="$A$82:$XFD$84" dn="Z_B31C8DB7_3E78_4144_A6B5_8DE36DE63F0E_.wvu.Rows" sId="1"/>
    <undo index="2" exp="area" ref3D="1" dr="$A$43:$XFD$45" dn="Z_B31C8DB7_3E78_4144_A6B5_8DE36DE63F0E_.wvu.Rows" sId="1"/>
    <undo index="2" exp="area" ref3D="1" dr="$A$43:$XFD$45" dn="Z_B30CE22D_C12F_4E12_8BB9_3AAE0A6991CC_.wvu.Rows" sId="1"/>
    <undo index="2" exp="area" ref3D="1" dr="$A$43:$XFD$45" dn="Z_A54C432C_6C68_4B53_A75C_446EB3A61B2B_.wvu.Rows" sId="1"/>
    <undo index="2" exp="area" ref3D="1" dr="$A$43:$XFD$45" dn="Z_61528DAC_5C4C_48F4_ADE2_8A724B05A086_.wvu.Rows" sId="1"/>
    <undo index="4" exp="area" ref3D="1" dr="$A$82:$XFD$84" dn="Z_5BFCA170_DEAE_4D2C_98A0_1E68B427AC01_.wvu.Rows" sId="1"/>
    <undo index="2" exp="area" ref3D="1" dr="$A$43:$XFD$45" dn="Z_5BFCA170_DEAE_4D2C_98A0_1E68B427AC01_.wvu.Rows" sId="1"/>
    <undo index="2" exp="area" ref3D="1" dr="$A$43:$XFD$45" dn="Z_42584DC0_1D41_4C93_9B38_C388E7B8DAC4_.wvu.Rows" sId="1"/>
    <undo index="4" exp="area" ref3D="1" dr="$A$82:$XFD$84" dn="Z_3DCB9AAA_F09C_4EA6_B992_F93E466D374A_.wvu.Rows" sId="1"/>
    <undo index="2" exp="area" ref3D="1" dr="$A$43:$XFD$45" dn="Z_3DCB9AAA_F09C_4EA6_B992_F93E466D374A_.wvu.Rows" sId="1"/>
    <undo index="4" exp="area" ref3D="1" dr="$A$82:$XFD$84" dn="Z_1A52382B_3765_4E8C_903F_6B8919B7242E_.wvu.Rows" sId="1"/>
    <undo index="2" exp="area" ref3D="1" dr="$A$43:$XFD$45" dn="Z_1A52382B_3765_4E8C_903F_6B8919B7242E_.wvu.Rows" sId="1"/>
    <undo index="2" exp="area" ref3D="1" dr="$A$43:$XFD$45" dn="Z_1718F1EE_9F48_4DBE_9531_3B70F9C4A5DD_.wvu.Rows" sId="1"/>
  </rrc>
  <rcc rId="20129" sId="1" numFmtId="4">
    <nc r="D28">
      <v>26585.53701</v>
    </nc>
  </rcc>
  <rcv guid="{B30CE22D-C12F-4E12-8BB9-3AAE0A6991CC}" action="delete"/>
  <rdn rId="0" localSheetId="1" customView="1" name="Z_B30CE22D_C12F_4E12_8BB9_3AAE0A6991CC_.wvu.PrintArea" hidden="1" oldHidden="1">
    <formula>Консол!$A$1:$K$51</formula>
    <oldFormula>Консол!$A$1:$K$51</oldFormula>
  </rdn>
  <rdn rId="0" localSheetId="1" customView="1" name="Z_B30CE22D_C12F_4E12_8BB9_3AAE0A6991CC_.wvu.Rows" hidden="1" oldHidden="1">
    <formula>Консол!$22:$22,Консол!$44:$46</formula>
    <oldFormula>Консол!$22:$22,Консол!$44:$46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fmt sheetId="14" sqref="C98:D98 C51:D51">
    <dxf>
      <numFmt numFmtId="186" formatCode="#,##0.0000"/>
    </dxf>
  </rfmt>
  <rfmt sheetId="14" sqref="C98:D98 C51:D51">
    <dxf>
      <numFmt numFmtId="187" formatCode="#,##0.000"/>
    </dxf>
  </rfmt>
  <rfmt sheetId="14" sqref="C98:D98 C51:D51">
    <dxf>
      <numFmt numFmtId="4" formatCode="#,##0.00"/>
    </dxf>
  </rfmt>
  <rfmt sheetId="14" sqref="C98:D98 C51:D51">
    <dxf>
      <numFmt numFmtId="167" formatCode="#,##0.0"/>
    </dxf>
  </rfmt>
  <rfmt sheetId="15" sqref="C51:D52 C56 C98:D98">
    <dxf>
      <numFmt numFmtId="175" formatCode="_(* #,##0.0000_);_(* \(#,##0.0000\);_(* &quot;-&quot;??_);_(@_)"/>
    </dxf>
  </rfmt>
  <rfmt sheetId="15" sqref="C51:D52 C56 C98:D98">
    <dxf>
      <numFmt numFmtId="184" formatCode="_(* #,##0.000_);_(* \(#,##0.000\);_(* &quot;-&quot;??_);_(@_)"/>
    </dxf>
  </rfmt>
  <rfmt sheetId="15" sqref="C51:D52 C56 C98:D98">
    <dxf>
      <numFmt numFmtId="165" formatCode="_(* #,##0.00_);_(* \(#,##0.00\);_(* &quot;-&quot;??_);_(@_)"/>
    </dxf>
  </rfmt>
  <rfmt sheetId="15" sqref="C51:D52 C56 C98:D98">
    <dxf>
      <numFmt numFmtId="169" formatCode="_(* #,##0.0_);_(* \(#,##0.0\);_(* &quot;-&quot;??_);_(@_)"/>
    </dxf>
  </rfmt>
  <rfmt sheetId="16" sqref="C50:D50 C97:D97">
    <dxf>
      <numFmt numFmtId="186" formatCode="#,##0.0000"/>
    </dxf>
  </rfmt>
  <rfmt sheetId="16" sqref="C50:D50 C97:D97">
    <dxf>
      <numFmt numFmtId="187" formatCode="#,##0.000"/>
    </dxf>
  </rfmt>
  <rfmt sheetId="16" sqref="C50:D50 C97:D97">
    <dxf>
      <numFmt numFmtId="4" formatCode="#,##0.00"/>
    </dxf>
  </rfmt>
  <rfmt sheetId="16" sqref="C50:D50 C97:D97">
    <dxf>
      <numFmt numFmtId="167" formatCode="#,##0.0"/>
    </dxf>
  </rfmt>
  <rfmt sheetId="17" sqref="C52:D52 C99:D99">
    <dxf>
      <numFmt numFmtId="186" formatCode="#,##0.0000"/>
    </dxf>
  </rfmt>
  <rfmt sheetId="17" sqref="C52:D52 C99:D99">
    <dxf>
      <numFmt numFmtId="187" formatCode="#,##0.000"/>
    </dxf>
  </rfmt>
  <rfmt sheetId="17" sqref="C52:D52 C99:D99">
    <dxf>
      <numFmt numFmtId="4" formatCode="#,##0.00"/>
    </dxf>
  </rfmt>
  <rfmt sheetId="17" sqref="C52:D52 C99:D99">
    <dxf>
      <numFmt numFmtId="167" formatCode="#,##0.0"/>
    </dxf>
  </rfmt>
  <rfmt sheetId="18" sqref="C52:D52 C99:D99">
    <dxf>
      <numFmt numFmtId="175" formatCode="_(* #,##0.0000_);_(* \(#,##0.0000\);_(* &quot;-&quot;??_);_(@_)"/>
    </dxf>
  </rfmt>
  <rfmt sheetId="18" sqref="C52:D52 C99:D99">
    <dxf>
      <numFmt numFmtId="184" formatCode="_(* #,##0.000_);_(* \(#,##0.000\);_(* &quot;-&quot;??_);_(@_)"/>
    </dxf>
  </rfmt>
  <rfmt sheetId="18" sqref="C52:D52 C99:D99">
    <dxf>
      <numFmt numFmtId="165" formatCode="_(* #,##0.00_);_(* \(#,##0.00\);_(* &quot;-&quot;??_);_(@_)"/>
    </dxf>
  </rfmt>
  <rfmt sheetId="18" sqref="C52:D52 C99:D99">
    <dxf>
      <numFmt numFmtId="169" formatCode="_(* #,##0.0_);_(* \(#,##0.0\);_(* &quot;-&quot;??_);_(@_)"/>
    </dxf>
  </rfmt>
  <rfmt sheetId="19" sqref="C48:D49 C95:D95">
    <dxf>
      <numFmt numFmtId="186" formatCode="#,##0.0000"/>
    </dxf>
  </rfmt>
  <rfmt sheetId="19" sqref="C48:D49 C95:D95">
    <dxf>
      <numFmt numFmtId="187" formatCode="#,##0.000"/>
    </dxf>
  </rfmt>
  <rfmt sheetId="19" sqref="C48:D49 C95:D95">
    <dxf>
      <numFmt numFmtId="4" formatCode="#,##0.00"/>
    </dxf>
  </rfmt>
  <rfmt sheetId="19" sqref="C48:D49 C95:D95">
    <dxf>
      <numFmt numFmtId="167" formatCode="#,##0.0"/>
    </dxf>
  </rfmt>
  <rfmt sheetId="19" sqref="C48:D49 C95:D95">
    <dxf>
      <numFmt numFmtId="3" formatCode="#,##0"/>
    </dxf>
  </rfmt>
  <rfmt sheetId="19" sqref="C48:D49 C95:D95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fmt sheetId="4" sqref="C47:D48">
    <dxf>
      <numFmt numFmtId="168" formatCode="0.00000"/>
    </dxf>
  </rfmt>
  <rfmt sheetId="4" sqref="C47:D48">
    <dxf>
      <numFmt numFmtId="174" formatCode="0.0000"/>
    </dxf>
  </rfmt>
  <rfmt sheetId="4" sqref="C47:D48">
    <dxf>
      <numFmt numFmtId="183" formatCode="0.000"/>
    </dxf>
  </rfmt>
  <rfmt sheetId="4" sqref="C47:D48">
    <dxf>
      <numFmt numFmtId="2" formatCode="0.00"/>
    </dxf>
  </rfmt>
  <rfmt sheetId="4" sqref="C47:D48">
    <dxf>
      <numFmt numFmtId="166" formatCode="0.0"/>
    </dxf>
  </rfmt>
  <rfmt sheetId="4" sqref="C62:D62">
    <dxf>
      <numFmt numFmtId="174" formatCode="0.0000"/>
    </dxf>
  </rfmt>
  <rfmt sheetId="4" sqref="C62:D62">
    <dxf>
      <numFmt numFmtId="183" formatCode="0.000"/>
    </dxf>
  </rfmt>
  <rfmt sheetId="4" sqref="C62:D62">
    <dxf>
      <numFmt numFmtId="2" formatCode="0.00"/>
    </dxf>
  </rfmt>
  <rfmt sheetId="4" sqref="C62:D62">
    <dxf>
      <numFmt numFmtId="166" formatCode="0.0"/>
    </dxf>
  </rfmt>
  <rfmt sheetId="4" sqref="C94:D94">
    <dxf>
      <numFmt numFmtId="174" formatCode="0.0000"/>
    </dxf>
  </rfmt>
  <rfmt sheetId="4" sqref="C94:D94">
    <dxf>
      <numFmt numFmtId="183" formatCode="0.000"/>
    </dxf>
  </rfmt>
  <rfmt sheetId="4" sqref="C94:D94">
    <dxf>
      <numFmt numFmtId="2" formatCode="0.00"/>
    </dxf>
  </rfmt>
  <rfmt sheetId="4" sqref="C94:D94">
    <dxf>
      <numFmt numFmtId="166" formatCode="0.0"/>
    </dxf>
  </rfmt>
  <rfmt sheetId="5" sqref="C52:D52 C101:D101">
    <dxf>
      <numFmt numFmtId="174" formatCode="0.0000"/>
    </dxf>
  </rfmt>
  <rfmt sheetId="5" sqref="C52:D52 C101:D101">
    <dxf>
      <numFmt numFmtId="183" formatCode="0.000"/>
    </dxf>
  </rfmt>
  <rfmt sheetId="5" sqref="C52:D52 C101:D101">
    <dxf>
      <numFmt numFmtId="2" formatCode="0.00"/>
    </dxf>
  </rfmt>
  <rfmt sheetId="5" sqref="C52:D52 C101:D101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fmt sheetId="1" sqref="C27:D28">
    <dxf>
      <numFmt numFmtId="174" formatCode="0.0000"/>
    </dxf>
  </rfmt>
  <rfmt sheetId="1" sqref="C27:D28">
    <dxf>
      <numFmt numFmtId="183" formatCode="0.000"/>
    </dxf>
  </rfmt>
  <rfmt sheetId="1" sqref="C27:D28">
    <dxf>
      <numFmt numFmtId="2" formatCode="0.00"/>
    </dxf>
  </rfmt>
  <rfmt sheetId="1" sqref="C27:D28">
    <dxf>
      <numFmt numFmtId="166" formatCode="0.0"/>
    </dxf>
  </rfmt>
  <rfmt sheetId="1" sqref="F27:G28">
    <dxf>
      <numFmt numFmtId="174" formatCode="0.0000"/>
    </dxf>
  </rfmt>
  <rfmt sheetId="1" sqref="F27:G28">
    <dxf>
      <numFmt numFmtId="183" formatCode="0.000"/>
    </dxf>
  </rfmt>
  <rfmt sheetId="1" sqref="F27:G28">
    <dxf>
      <numFmt numFmtId="2" formatCode="0.00"/>
    </dxf>
  </rfmt>
  <rfmt sheetId="1" sqref="F27:G28">
    <dxf>
      <numFmt numFmtId="166" formatCode="0.0"/>
    </dxf>
  </rfmt>
  <rfmt sheetId="1" sqref="I27:J28">
    <dxf>
      <numFmt numFmtId="174" formatCode="0.0000"/>
    </dxf>
  </rfmt>
  <rfmt sheetId="1" sqref="I27:J28">
    <dxf>
      <numFmt numFmtId="183" formatCode="0.000"/>
    </dxf>
  </rfmt>
  <rfmt sheetId="1" sqref="I27:J28">
    <dxf>
      <numFmt numFmtId="2" formatCode="0.00"/>
    </dxf>
  </rfmt>
  <rfmt sheetId="1" sqref="I27:J28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район!$32:$32,район!$51:$51,район!$70:$70,район!$94:$94,район!$122:$124,район!$127:$128</formula>
    <oldFormula>район!$32:$32,район!$51:$51,район!$70:$70,район!$94:$94,район!$122:$124,район!$127:$128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is rId="21199" sheetId="24" name="[Анализ исполнения бюджета Моргаушского района на 01.03.2020.xlsx]Лист5" sheetPosition="23"/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c rId="21360" sId="1">
    <oc r="A50" t="inlineStr">
      <is>
        <t>администрации Моргаушского района</t>
      </is>
    </oc>
    <nc r="A50"/>
  </rcc>
  <rcc rId="21361" sId="1">
    <oc r="A49" t="inlineStr">
      <is>
        <t>Начальник финансового отдела</t>
      </is>
    </oc>
    <nc r="A49" t="inlineStr">
      <is>
        <t>Заместитель главы администрации Моргаушского района -начальник финансового отдела</t>
      </is>
    </nc>
  </rcc>
  <rfmt sheetId="1" sqref="C49" start="0" length="0">
    <dxf>
      <font>
        <sz val="12"/>
        <name val="Times New Roman"/>
        <scheme val="none"/>
      </font>
      <numFmt numFmtId="173" formatCode="0.000000"/>
    </dxf>
  </rfmt>
  <rcc rId="21362" sId="1">
    <oc r="C50" t="inlineStr">
      <is>
        <t>Р.И. Ананьева</t>
      </is>
    </oc>
    <nc r="C50"/>
  </rcc>
  <rcc rId="21363" sId="1" odxf="1" dxf="1">
    <nc r="D49" t="inlineStr">
      <is>
        <t>Р.И. Ананьева</t>
      </is>
    </nc>
    <odxf>
      <font>
        <sz val="12"/>
        <name val="Times New Roman"/>
        <scheme val="none"/>
      </font>
      <numFmt numFmtId="177" formatCode="0.0000000"/>
    </odxf>
    <ndxf>
      <font>
        <sz val="12"/>
        <name val="Times New Roman"/>
        <scheme val="none"/>
      </font>
      <numFmt numFmtId="173" formatCode="0.000000"/>
    </ndxf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Чум!$19:$24,Чум!$31:$36,Чум!$46:$50,Чум!$57:$57,Чум!$59:$60,Чум!$67:$68,Чум!$78:$79,Чум!$83:$87,Чум!$90:$97,Чум!$142:$142</formula>
    <oldFormula>Чум!$19:$24,Чум!$31:$36,Чум!$46:$50,Чум!$57:$57,Чум!$59:$60,Чум!$67:$68,Чум!$78:$79,Чум!$83:$87,Чум!$90:$97,Чум!$142:$142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Шать!$19:$25,Шать!$31:$33,Шать!$46:$47,Шать!$57:$57,Шать!$59:$60,Шать!$67:$68,Шать!$78:$79,Шать!$84:$86,Шать!$90:$97,Шать!$142:$142</formula>
    <oldFormula>Шать!$19:$25,Шать!$31:$33,Шать!$46:$47,Шать!$57:$57,Шать!$59:$60,Шать!$67:$68,Шать!$78:$79,Шать!$84:$86,Шать!$90:$97,Шать!$142:$142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район!$28:$32,район!$51:$51,район!$70:$70,район!$94:$94,район!$122:$124,район!$127:$128</formula>
    <oldFormula>район!$28:$32,район!$51:$51,район!$70:$70,район!$94:$94,район!$122:$124,район!$127:$128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Тор!$19:$24,Тор!$32:$36,Тор!$39:$39,Тор!$48:$48,Тор!$50:$50,Тор!$57:$57,Тор!$59:$60,Тор!$67:$68,Тор!$75:$75,Тор!$79:$80,Тор!$85:$87,Тор!$89:$95,Тор!$142:$142</formula>
    <oldFormula>Тор!$19:$24,Тор!$32:$36,Тор!$39:$39,Тор!$48:$48,Тор!$50:$50,Тор!$57:$57,Тор!$59:$60,Тор!$67:$68,Тор!$75:$75,Тор!$79:$80,Тор!$85:$87,Тор!$89:$95,Тор!$142:$142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Шать!$19:$25,Шать!$31:$33,Шать!$48:$49,Шать!$57:$57,Шать!$59:$60,Шать!$67:$68,Шать!$78:$79,Шать!$84:$86,Шать!$90:$97,Шать!$142:$142</formula>
    <oldFormula>Шать!$19:$25,Шать!$31:$33,Шать!$48:$49,Шать!$57:$57,Шать!$59:$60,Шать!$67:$68,Шать!$78:$79,Шать!$84:$86,Шать!$90:$97,Шать!$142:$142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7000" sId="5">
    <oc r="D55" t="inlineStr">
      <is>
        <t>исполнено на 01.02.2020 г</t>
      </is>
    </oc>
    <nc r="D55" t="inlineStr">
      <is>
        <t>исполнено на 01.03.2020 г</t>
      </is>
    </nc>
  </rcc>
  <rcc rId="17001" sId="5">
    <oc r="D3" t="inlineStr">
      <is>
        <t>исполнен на 01.02.2020 г.</t>
      </is>
    </oc>
    <nc r="D3" t="inlineStr">
      <is>
        <t>исполнен на 01.03.2020 г.</t>
      </is>
    </nc>
  </rcc>
  <rcc rId="17002" sId="5">
    <oc r="A1" t="inlineStr">
      <is>
        <t xml:space="preserve">                     Анализ исполнения бюджета Большесундырского сельского поселения на 01.02.2020 г.</t>
      </is>
    </oc>
    <nc r="A1" t="inlineStr">
      <is>
        <t xml:space="preserve">                     Анализ исполнения бюджета Большесундырского сельского поселения на 01.03.2020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6924" sId="4">
    <oc r="A1" t="inlineStr">
      <is>
        <t xml:space="preserve">                     Анализ исполнения бюджета Александровского сельского поселения на 01.02.2020 г.</t>
      </is>
    </oc>
    <nc r="A1" t="inlineStr">
      <is>
        <t xml:space="preserve">                     Анализ исполнения бюджета Александровского сельского поселения на 01.03.2020 г.</t>
      </is>
    </nc>
  </rcc>
  <rcc rId="16925" sId="4">
    <oc r="D3" t="inlineStr">
      <is>
        <t>исполнен на 01.02.2020 г.</t>
      </is>
    </oc>
    <nc r="D3" t="inlineStr">
      <is>
        <t>исполнен на 01.03.2020 г.</t>
      </is>
    </nc>
  </rcc>
  <rcc rId="16926" sId="4">
    <oc r="D50" t="inlineStr">
      <is>
        <t>исполнено на 01.02.2020 г.</t>
      </is>
    </oc>
    <nc r="D50" t="inlineStr">
      <is>
        <t>исполнено на 01.03.2020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2.xml><?xml version="1.0" encoding="utf-8"?>
<revisions xmlns="http://schemas.openxmlformats.org/spreadsheetml/2006/main" xmlns:r="http://schemas.openxmlformats.org/officeDocument/2006/relationships">
  <rcc rId="16956" sId="4" numFmtId="4">
    <oc r="D6">
      <v>1.4789399999999999</v>
    </oc>
    <nc r="D6">
      <v>4.3124099999999999</v>
    </nc>
  </rcc>
  <rcc rId="16957" sId="4" numFmtId="4">
    <oc r="D8">
      <v>9.7181300000000004</v>
    </oc>
    <nc r="D8">
      <v>17.984539999999999</v>
    </nc>
  </rcc>
  <rcc rId="16958" sId="4" numFmtId="4">
    <oc r="D9">
      <v>6.6140000000000004E-2</v>
    </oc>
    <nc r="D9">
      <v>0.11273</v>
    </nc>
  </rcc>
  <rcc rId="16959" sId="4" numFmtId="4">
    <oc r="D10">
      <v>13.3348</v>
    </oc>
    <nc r="D10">
      <v>25.743749999999999</v>
    </nc>
  </rcc>
  <rcc rId="16960" sId="4" numFmtId="4">
    <oc r="D11">
      <v>-1.78654</v>
    </oc>
    <nc r="D11">
      <v>-3.5110800000000002</v>
    </nc>
  </rcc>
  <rcc rId="16961" sId="4" numFmtId="4">
    <oc r="D13">
      <v>0</v>
    </oc>
    <nc r="D13">
      <v>24.1173</v>
    </nc>
  </rcc>
  <rcc rId="16962" sId="4" numFmtId="4">
    <oc r="D15">
      <v>0.60509999999999997</v>
    </oc>
    <nc r="D15">
      <v>1.68025</v>
    </nc>
  </rcc>
  <rcc rId="16963" sId="4" numFmtId="4">
    <oc r="D16">
      <v>4.6512900000000004</v>
    </oc>
    <nc r="D16">
      <v>13.23348</v>
    </nc>
  </rcc>
  <rcc rId="16964" sId="4" numFmtId="4">
    <oc r="D18">
      <v>0.2</v>
    </oc>
    <nc r="D18">
      <v>0.4</v>
    </nc>
  </rcc>
  <rcc rId="16965" sId="4" numFmtId="4">
    <oc r="D39">
      <v>99.531999999999996</v>
    </oc>
    <nc r="D39">
      <v>199.06399999999999</v>
    </nc>
  </rcc>
  <rcc rId="16966" sId="4" numFmtId="4">
    <oc r="D42">
      <v>7.4667000000000003</v>
    </oc>
    <nc r="D42">
      <v>14.933400000000001</v>
    </nc>
  </rcc>
  <rcc rId="16967" sId="4" numFmtId="4">
    <oc r="D54">
      <v>20</v>
    </oc>
    <nc r="D54">
      <v>92.715720000000005</v>
    </nc>
  </rcc>
  <rcc rId="16968" sId="4" numFmtId="4">
    <oc r="D61">
      <v>2</v>
    </oc>
    <nc r="D61">
      <v>9.8966399999999997</v>
    </nc>
  </rcc>
  <rcc rId="16969" sId="4" numFmtId="4">
    <oc r="D78">
      <v>24</v>
    </oc>
    <nc r="D78">
      <v>48</v>
    </nc>
  </rcc>
  <rcc rId="16970" sId="4" numFmtId="4">
    <oc r="C71">
      <v>643.21</v>
    </oc>
    <nc r="C71">
      <v>1008.61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7194" sId="7">
    <oc r="D53" t="inlineStr">
      <is>
        <t>исполнено на 01.02.2020 г.</t>
      </is>
    </oc>
    <nc r="D53" t="inlineStr">
      <is>
        <t>исполнено на 01.03.2020 г.</t>
      </is>
    </nc>
  </rcc>
  <rcc rId="17195" sId="7">
    <oc r="D3" t="inlineStr">
      <is>
        <t>исполнен на 01.02.2020 г.</t>
      </is>
    </oc>
    <nc r="D3" t="inlineStr">
      <is>
        <t>исполнен на 01.03.2020 г.</t>
      </is>
    </nc>
  </rcc>
  <rcc rId="17196" sId="7">
    <oc r="A1" t="inlineStr">
      <is>
        <t xml:space="preserve">                     Анализ исполнения бюджета Кадикасинского сельского поселения на 01.02.2020 г.</t>
      </is>
    </oc>
    <nc r="A1" t="inlineStr">
      <is>
        <t xml:space="preserve">                     Анализ исполнения бюджета Кадикасинского сельского поселения на 01.03.2020 г.</t>
      </is>
    </nc>
  </rcc>
  <rcc rId="17197" sId="7" numFmtId="34">
    <oc r="D6">
      <v>9.5171299999999999</v>
    </oc>
    <nc r="D6">
      <v>40.716430000000003</v>
    </nc>
  </rcc>
  <rcc rId="17198" sId="7" numFmtId="34">
    <oc r="D8">
      <v>31.559950000000001</v>
    </oc>
    <nc r="D8">
      <v>58.405349999999999</v>
    </nc>
  </rcc>
  <rcc rId="17199" sId="7" numFmtId="34">
    <oc r="D9">
      <v>0.21473999999999999</v>
    </oc>
    <nc r="D9">
      <v>0.36601</v>
    </nc>
  </rcc>
  <rcc rId="17200" sId="7" numFmtId="34">
    <oc r="D10">
      <v>43.305129999999998</v>
    </oc>
    <nc r="D10">
      <v>83.603539999999995</v>
    </nc>
  </rcc>
  <rcc rId="17201" sId="7" numFmtId="4">
    <oc r="D11">
      <v>-5.80185</v>
    </oc>
    <nc r="D11">
      <v>-11.402329999999999</v>
    </nc>
  </rcc>
  <rcc rId="17202" sId="7" numFmtId="34">
    <oc r="D13">
      <v>0</v>
    </oc>
    <nc r="D13">
      <v>10.9533</v>
    </nc>
  </rcc>
  <rcc rId="17203" sId="7" numFmtId="34">
    <oc r="D15">
      <v>9.1786499999999993</v>
    </oc>
    <nc r="D15">
      <v>16.963100000000001</v>
    </nc>
  </rcc>
  <rcc rId="17204" sId="7" numFmtId="34">
    <oc r="D16">
      <v>60.755299999999998</v>
    </oc>
    <nc r="D16">
      <v>213.42505</v>
    </nc>
  </rcc>
  <rcc rId="17205" sId="7" numFmtId="34">
    <oc r="D18">
      <v>1</v>
    </oc>
    <nc r="D18">
      <v>1.4</v>
    </nc>
  </rcc>
  <rcc rId="17206" sId="7" numFmtId="4">
    <oc r="D27">
      <v>0</v>
    </oc>
    <nc r="D27">
      <v>16.114000000000001</v>
    </nc>
  </rcc>
  <rcc rId="17207" sId="7" numFmtId="4">
    <oc r="D28">
      <v>1</v>
    </oc>
    <nc r="D28">
      <v>2</v>
    </nc>
  </rcc>
  <rcc rId="17208" sId="7" numFmtId="34">
    <oc r="D41">
      <v>99.715000000000003</v>
    </oc>
    <nc r="D41">
      <v>199.43</v>
    </nc>
  </rcc>
  <rcc rId="17209" sId="7" numFmtId="34">
    <oc r="D43">
      <v>0</v>
    </oc>
    <nc r="D43">
      <v>79.703999999999994</v>
    </nc>
  </rcc>
  <rcc rId="17210" sId="7" numFmtId="34">
    <oc r="D45">
      <v>14.933299999999999</v>
    </oc>
    <nc r="D45">
      <v>29.866599999999998</v>
    </nc>
  </rcc>
  <rcc rId="17211" sId="7" numFmtId="4">
    <oc r="D30">
      <v>0</v>
    </oc>
    <nc r="D30">
      <v>7.21685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7126" sId="6" numFmtId="4">
    <oc r="D60">
      <v>26.114419999999999</v>
    </oc>
    <nc r="D60">
      <v>161.51686000000001</v>
    </nc>
  </rcc>
  <rcc rId="17127" sId="6" numFmtId="4">
    <oc r="D67">
      <v>4</v>
    </oc>
    <nc r="D67">
      <v>19.79326</v>
    </nc>
  </rcc>
  <rcc rId="17128" sId="6" numFmtId="4">
    <oc r="C76">
      <v>0</v>
    </oc>
    <nc r="C76">
      <v>42</v>
    </nc>
  </rcc>
  <rcc rId="17129" sId="6" numFmtId="4">
    <oc r="D76">
      <v>0</v>
    </oc>
    <nc r="D76">
      <v>40</v>
    </nc>
  </rcc>
  <rcc rId="17130" sId="6" numFmtId="4">
    <oc r="D77">
      <v>0</v>
    </oc>
    <nc r="D77">
      <v>107.24</v>
    </nc>
  </rcc>
  <rcc rId="17131" sId="6" numFmtId="4">
    <oc r="C78">
      <v>233.2</v>
    </oc>
    <nc r="C78">
      <v>203.2</v>
    </nc>
  </rcc>
  <rcc rId="17132" sId="6" numFmtId="4">
    <oc r="D78">
      <v>0</v>
    </oc>
    <nc r="D78">
      <v>16.25</v>
    </nc>
  </rcc>
  <rcc rId="17133" sId="6" numFmtId="4">
    <oc r="C84">
      <v>660</v>
    </oc>
    <nc r="C84">
      <v>1560.3</v>
    </nc>
  </rcc>
  <rcc rId="17134" sId="6" numFmtId="4">
    <oc r="D84">
      <v>0</v>
    </oc>
    <nc r="D84">
      <v>77.107420000000005</v>
    </nc>
  </rcc>
  <rcc rId="17135" sId="6" numFmtId="4">
    <oc r="D86">
      <v>125</v>
    </oc>
    <nc r="D86">
      <v>277.74396999999999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17081" sId="6">
    <oc r="D56" t="inlineStr">
      <is>
        <t>исполнено на 01.02.2020 г.</t>
      </is>
    </oc>
    <nc r="D56" t="inlineStr">
      <is>
        <t>исполнено на 01.03.2020 г.</t>
      </is>
    </nc>
  </rcc>
  <rcc rId="17082" sId="6">
    <oc r="D3" t="inlineStr">
      <is>
        <t>исполнен на 01.02.2020 г.</t>
      </is>
    </oc>
    <nc r="D3" t="inlineStr">
      <is>
        <t>исполнен на 01.03.2020 г.</t>
      </is>
    </nc>
  </rcc>
  <rcc rId="17083" sId="6">
    <oc r="A1" t="inlineStr">
      <is>
        <t xml:space="preserve">                     Анализ исполнения бюджета Ильинского сельского поселения на 01.02.2020 г.</t>
      </is>
    </oc>
    <nc r="A1" t="inlineStr">
      <is>
        <t xml:space="preserve">                     Анализ исполнения бюджета Ильинского сельского поселения на 01.03.2020 г.</t>
      </is>
    </nc>
  </rcc>
  <rcc rId="17084" sId="6" numFmtId="4">
    <oc r="D6">
      <v>2.0882000000000001</v>
    </oc>
    <nc r="D6">
      <v>9.1025399999999994</v>
    </nc>
  </rcc>
  <rcc rId="17085" sId="6" numFmtId="4">
    <oc r="D8">
      <v>26.460339999999999</v>
    </oc>
    <nc r="D8">
      <v>48.967919999999999</v>
    </nc>
  </rcc>
  <rcc rId="17086" sId="6" numFmtId="4">
    <oc r="D9">
      <v>0.18004000000000001</v>
    </oc>
    <nc r="D9">
      <v>0.30687999999999999</v>
    </nc>
  </rcc>
  <rcc rId="17087" sId="6" numFmtId="4">
    <oc r="D10">
      <v>36.307650000000002</v>
    </oc>
    <nc r="D10">
      <v>70.094430000000003</v>
    </nc>
  </rcc>
  <rcc rId="17088" sId="6" numFmtId="4">
    <oc r="D15">
      <v>2.40035</v>
    </oc>
    <nc r="D15">
      <v>32.598550000000003</v>
    </nc>
  </rcc>
  <rcc rId="17089" sId="6" numFmtId="4">
    <oc r="D16">
      <v>24.45392</v>
    </oc>
    <nc r="D16">
      <v>47.872239999999998</v>
    </nc>
  </rcc>
  <rcc rId="17090" sId="6" numFmtId="4">
    <oc r="D28">
      <v>3.9630000000000001</v>
    </oc>
    <nc r="D28">
      <v>31.574000000000002</v>
    </nc>
  </rcc>
  <rcc rId="17091" sId="6" numFmtId="4">
    <oc r="D29">
      <v>0</v>
    </oc>
    <nc r="D29">
      <v>16.1403</v>
    </nc>
  </rcc>
  <rcc rId="17092" sId="6" numFmtId="4">
    <oc r="D43">
      <v>142.23099999999999</v>
    </oc>
    <nc r="D43">
      <v>284.46199999999999</v>
    </nc>
  </rcc>
  <rcc rId="17093" sId="6" numFmtId="4">
    <oc r="D45">
      <v>0</v>
    </oc>
    <nc r="D45">
      <v>90.146000000000001</v>
    </nc>
  </rcc>
  <rcc rId="17094" sId="6" numFmtId="4">
    <oc r="D47">
      <v>14.933299999999999</v>
    </oc>
    <nc r="D47">
      <v>29.866599999999998</v>
    </nc>
  </rcc>
  <rcc rId="17095" sId="6" numFmtId="4">
    <oc r="C46">
      <v>433.39</v>
    </oc>
    <nc r="C46">
      <v>0</v>
    </nc>
  </rcc>
  <rfmt sheetId="6" sqref="D7">
    <dxf>
      <numFmt numFmtId="2" formatCode="0.00"/>
    </dxf>
  </rfmt>
  <rfmt sheetId="6" sqref="D7">
    <dxf>
      <numFmt numFmtId="183" formatCode="0.000"/>
    </dxf>
  </rfmt>
  <rfmt sheetId="6" sqref="D7">
    <dxf>
      <numFmt numFmtId="174" formatCode="0.0000"/>
    </dxf>
  </rfmt>
  <rfmt sheetId="6" sqref="D7">
    <dxf>
      <numFmt numFmtId="168" formatCode="0.00000"/>
    </dxf>
  </rfmt>
  <rfmt sheetId="6" sqref="D7">
    <dxf>
      <numFmt numFmtId="173" formatCode="0.000000"/>
    </dxf>
  </rfmt>
  <rcc rId="17096" sId="6" numFmtId="4">
    <oc r="D11">
      <v>-4.8643599999999996</v>
    </oc>
    <nc r="D11">
      <v>-9.5599100000000004</v>
    </nc>
  </rcc>
  <rfmt sheetId="6" sqref="D7">
    <dxf>
      <numFmt numFmtId="168" formatCode="0.00000"/>
    </dxf>
  </rfmt>
  <rfmt sheetId="6" sqref="D7">
    <dxf>
      <numFmt numFmtId="174" formatCode="0.0000"/>
    </dxf>
  </rfmt>
  <rfmt sheetId="6" sqref="D7">
    <dxf>
      <numFmt numFmtId="183" formatCode="0.000"/>
    </dxf>
  </rfmt>
  <rfmt sheetId="6" sqref="D7">
    <dxf>
      <numFmt numFmtId="2" formatCode="0.00"/>
    </dxf>
  </rfmt>
  <rfmt sheetId="6" sqref="D7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17032" sId="5" numFmtId="4">
    <oc r="D6">
      <v>13.70337</v>
    </oc>
    <nc r="D6">
      <v>45.9026</v>
    </nc>
  </rcc>
  <rcc rId="17033" sId="5" numFmtId="4">
    <oc r="D8">
      <v>27.999839999999999</v>
    </oc>
    <nc r="D8">
      <v>51.816960000000002</v>
    </nc>
  </rcc>
  <rcc rId="17034" sId="5" numFmtId="4">
    <oc r="D9">
      <v>0.19053</v>
    </oc>
    <nc r="D9">
      <v>0.32474999999999998</v>
    </nc>
  </rcc>
  <rcc rId="17035" sId="5" numFmtId="4">
    <oc r="D10">
      <v>38.420090000000002</v>
    </oc>
    <nc r="D10">
      <v>74.172640000000001</v>
    </nc>
  </rcc>
  <rcc rId="17036" sId="5" numFmtId="4">
    <oc r="D11">
      <v>-5.1473699999999996</v>
    </oc>
    <nc r="D11">
      <v>-10.11612</v>
    </nc>
  </rcc>
  <rcc rId="17037" sId="5" numFmtId="4">
    <oc r="D15">
      <v>6.2659700000000003</v>
    </oc>
    <nc r="D15">
      <v>12.757580000000001</v>
    </nc>
  </rcc>
  <rcc rId="17038" sId="5" numFmtId="4">
    <oc r="D16">
      <v>64.251040000000003</v>
    </oc>
    <nc r="D16">
      <v>101.22521999999999</v>
    </nc>
  </rcc>
  <rcc rId="17039" sId="5" numFmtId="4">
    <oc r="D18">
      <v>0.4</v>
    </oc>
    <nc r="D18">
      <v>1.1000000000000001</v>
    </nc>
  </rcc>
  <rcc rId="17040" sId="5" numFmtId="4">
    <oc r="D29">
      <v>4.1669999999999998</v>
    </oc>
    <nc r="D29">
      <v>8.3339999999999996</v>
    </nc>
  </rcc>
  <rcc rId="17041" sId="5" numFmtId="4">
    <oc r="D42">
      <v>273.654</v>
    </oc>
    <nc r="D42">
      <v>547.30799999999999</v>
    </nc>
  </rcc>
  <rcc rId="17042" sId="5" numFmtId="4">
    <oc r="D44">
      <v>0</v>
    </oc>
    <nc r="D44">
      <v>96.046000000000006</v>
    </nc>
  </rcc>
  <rcc rId="17043" sId="5" numFmtId="4">
    <oc r="D46">
      <v>14.933299999999999</v>
    </oc>
    <nc r="D46">
      <v>29.866599999999998</v>
    </nc>
  </rcc>
  <rcc rId="17044" sId="5" numFmtId="4">
    <oc r="D59">
      <v>36.070070000000001</v>
    </oc>
    <nc r="D59">
      <v>168.88846000000001</v>
    </nc>
  </rcc>
  <rcc rId="17045" sId="5" numFmtId="4">
    <oc r="D66">
      <v>4</v>
    </oc>
    <nc r="D66">
      <v>19.79326</v>
    </nc>
  </rcc>
  <rcc rId="17046" sId="5" numFmtId="4">
    <oc r="D75">
      <v>0</v>
    </oc>
    <nc r="D75">
      <v>59.453749999999999</v>
    </nc>
  </rcc>
  <rcc rId="17047" sId="5" numFmtId="4">
    <oc r="C76">
      <v>2777.16</v>
    </oc>
    <nc r="C76">
      <v>3696.06</v>
    </nc>
  </rcc>
  <rcc rId="17048" sId="5" numFmtId="4">
    <oc r="D76">
      <v>34.097999999999999</v>
    </oc>
    <nc r="D76">
      <v>223.58099999999999</v>
    </nc>
  </rcc>
  <rcc rId="17049" sId="5" numFmtId="4">
    <oc r="D81">
      <v>0</v>
    </oc>
    <nc r="D81">
      <v>111.38188</v>
    </nc>
  </rcc>
  <rcc rId="17050" sId="5" numFmtId="4">
    <oc r="D84">
      <v>220</v>
    </oc>
    <nc r="D84">
      <v>496.14755000000002</v>
    </nc>
  </rcc>
  <rcc rId="17051" sId="5" numFmtId="4">
    <oc r="D92">
      <v>0</v>
    </oc>
    <nc r="D92">
      <v>8.5850000000000009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3" sqref="C133:D133">
    <dxf>
      <numFmt numFmtId="2" formatCode="0.00"/>
    </dxf>
  </rfmt>
  <rfmt sheetId="3" sqref="C133:D133">
    <dxf>
      <numFmt numFmtId="183" formatCode="0.000"/>
    </dxf>
  </rfmt>
  <rfmt sheetId="3" sqref="C133:D133">
    <dxf>
      <numFmt numFmtId="174" formatCode="0.0000"/>
    </dxf>
  </rfmt>
  <rfmt sheetId="3" sqref="C133:D133">
    <dxf>
      <numFmt numFmtId="168" formatCode="0.00000"/>
    </dxf>
  </rfmt>
  <rcc rId="19268" sId="3" numFmtId="4">
    <oc r="D78">
      <v>437.96341999999999</v>
    </oc>
    <nc r="D78">
      <v>2184.6098000000002</v>
    </nc>
  </rcc>
  <rcc rId="19269" sId="3" numFmtId="4">
    <oc r="D80">
      <v>350.39904000000001</v>
    </oc>
    <nc r="D80">
      <v>956.59857999999997</v>
    </nc>
  </rcc>
  <rcc rId="19270" sId="3" numFmtId="4">
    <oc r="D83">
      <v>1392.7380000000001</v>
    </oc>
    <nc r="D83">
      <v>2818.355</v>
    </nc>
  </rcc>
  <rcc rId="19271" sId="3" numFmtId="4">
    <oc r="D85">
      <v>179.2</v>
    </oc>
    <nc r="D85">
      <v>358.4</v>
    </nc>
  </rcc>
  <rcc rId="19272" sId="3" numFmtId="4">
    <nc r="C87">
      <v>0</v>
    </nc>
  </rcc>
  <rcc rId="19273" sId="3" numFmtId="4">
    <nc r="D87">
      <v>0</v>
    </nc>
  </rcc>
  <rcc rId="19274" sId="3" numFmtId="4">
    <oc r="D88">
      <v>19</v>
    </oc>
    <nc r="D88">
      <v>100.60724999999999</v>
    </nc>
  </rcc>
  <rcc rId="19275" sId="3" numFmtId="4">
    <oc r="D89">
      <v>59.610489999999999</v>
    </oc>
    <nc r="D89">
      <v>262.47237999999999</v>
    </nc>
  </rcc>
  <rcc rId="19276" sId="3" numFmtId="4">
    <oc r="D93">
      <v>0</v>
    </oc>
    <nc r="D93">
      <v>21</v>
    </nc>
  </rcc>
  <rcc rId="19277" sId="3" numFmtId="4">
    <oc r="D95">
      <v>0</v>
    </oc>
    <nc r="D95">
      <v>2.25</v>
    </nc>
  </rcc>
  <rcc rId="19278" sId="3" numFmtId="4">
    <nc r="D96">
      <v>0</v>
    </nc>
  </rcc>
  <rcc rId="19279" sId="3">
    <nc r="F96">
      <f>SUM(D96-C96)</f>
    </nc>
  </rcc>
  <rcc rId="19280" sId="3" numFmtId="4">
    <nc r="E96">
      <f>SUM(D96/C96*100)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</formula>
    <oldFormula>район!$32:$32,район!$51:$51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</formula>
    <oldFormula>район!$32:$32,район!$51:$51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7241" sId="7" numFmtId="34">
    <oc r="D57">
      <v>33.744770000000003</v>
    </oc>
    <nc r="D57">
      <v>161.53971999999999</v>
    </nc>
  </rcc>
  <rcc rId="17242" sId="7" numFmtId="34">
    <oc r="D64">
      <v>4</v>
    </oc>
    <nc r="D64">
      <v>17.79326</v>
    </nc>
  </rcc>
  <rcc rId="17243" sId="7" numFmtId="34">
    <oc r="C73">
      <v>0</v>
    </oc>
    <nc r="C73">
      <v>55</v>
    </nc>
  </rcc>
  <rcc rId="17244" sId="7" numFmtId="34">
    <oc r="D73">
      <v>0</v>
    </oc>
    <nc r="D73">
      <v>55</v>
    </nc>
  </rcc>
  <rcc rId="17245" sId="7" numFmtId="34">
    <oc r="D74">
      <v>8.8559999999999999</v>
    </oc>
    <nc r="D74">
      <v>103.6065</v>
    </nc>
  </rcc>
  <rcc rId="17246" sId="7" numFmtId="34">
    <oc r="C79">
      <v>1189.325</v>
    </oc>
    <nc r="C79">
      <v>2022.5250000000001</v>
    </nc>
  </rcc>
  <rcc rId="17247" sId="7" numFmtId="34">
    <oc r="D79">
      <v>0</v>
    </oc>
    <nc r="D79">
      <v>87.174840000000003</v>
    </nc>
  </rcc>
  <rcc rId="17248" sId="7" numFmtId="34">
    <oc r="D81">
      <v>150</v>
    </oc>
    <nc r="D81">
      <v>300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cc rId="17278" sId="8">
    <oc r="D54" t="inlineStr">
      <is>
        <t>исполнено на 01.02.2020 г.</t>
      </is>
    </oc>
    <nc r="D54" t="inlineStr">
      <is>
        <t>исполнено на 01.03.2020 г.</t>
      </is>
    </nc>
  </rcc>
  <rcc rId="17279" sId="8">
    <oc r="D3" t="inlineStr">
      <is>
        <t>исполнен на 01.02.2020 г.</t>
      </is>
    </oc>
    <nc r="D3" t="inlineStr">
      <is>
        <t>исполнен на 01.03.2020 г.</t>
      </is>
    </nc>
  </rcc>
  <rcc rId="17280" sId="8">
    <oc r="A1" t="inlineStr">
      <is>
        <t xml:space="preserve">                     Анализ исполнения бюджета Моргаушского сельского поселения на 01.02.2020 г.</t>
      </is>
    </oc>
    <nc r="A1" t="inlineStr">
      <is>
        <t xml:space="preserve">                     Анализ исполнения бюджета Моргаушского сельского поселения на 01.03.2020 г.</t>
      </is>
    </nc>
  </rcc>
  <rcc rId="17281" sId="8" numFmtId="4">
    <oc r="D6">
      <v>78.23724</v>
    </oc>
    <nc r="D6">
      <v>211.54826</v>
    </nc>
  </rcc>
  <rcc rId="17282" sId="8" numFmtId="4">
    <oc r="D8">
      <v>15.58752</v>
    </oc>
    <nc r="D8">
      <v>28.846530000000001</v>
    </nc>
  </rcc>
  <rcc rId="17283" sId="8" numFmtId="4">
    <oc r="D9">
      <v>0.10606</v>
    </oc>
    <nc r="D9">
      <v>0.18078</v>
    </nc>
  </rcc>
  <rcc rId="17284" sId="8" numFmtId="4">
    <oc r="D10">
      <v>21.388500000000001</v>
    </oc>
    <nc r="D10">
      <v>41.291980000000002</v>
    </nc>
  </rcc>
  <rcc rId="17285" sId="8" numFmtId="4">
    <oc r="D11">
      <v>-2.8655300000000001</v>
    </oc>
    <nc r="D11">
      <v>-5.6316199999999998</v>
    </nc>
  </rcc>
  <rcc rId="17286" sId="8" numFmtId="4">
    <oc r="D15">
      <v>19.577870000000001</v>
    </oc>
    <nc r="D15">
      <v>49.820329999999998</v>
    </nc>
  </rcc>
  <rcc rId="17287" sId="8" numFmtId="4">
    <oc r="D16">
      <v>108.80298999999999</v>
    </oc>
    <nc r="D16">
      <v>267.38141000000002</v>
    </nc>
  </rcc>
  <rcc rId="17288" sId="8" numFmtId="4">
    <oc r="D41">
      <v>429.64299999999997</v>
    </oc>
    <nc r="D41">
      <v>859.28599999999994</v>
    </nc>
  </rcc>
  <rcc rId="17289" sId="8" numFmtId="4">
    <oc r="D43">
      <v>0</v>
    </oc>
    <nc r="D43">
      <v>38.918999999999997</v>
    </nc>
  </rcc>
  <rcc rId="17290" sId="8" numFmtId="4">
    <oc r="D48">
      <v>0</v>
    </oc>
    <nc r="D48">
      <v>473.94148000000001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17320" sId="8" numFmtId="34">
    <oc r="D58">
      <v>107.17243000000001</v>
    </oc>
    <nc r="D58">
      <v>262.72325000000001</v>
    </nc>
  </rcc>
  <rcc rId="17321" sId="8" numFmtId="34">
    <oc r="D63">
      <v>0</v>
    </oc>
    <nc r="D63">
      <v>7</v>
    </nc>
  </rcc>
  <rcc rId="17322" sId="8" numFmtId="34">
    <oc r="D74">
      <v>68.609889999999993</v>
    </oc>
    <nc r="D74">
      <v>185.90031999999999</v>
    </nc>
  </rcc>
  <rcc rId="17323" sId="8" numFmtId="34">
    <oc r="C75">
      <v>2264.0731500000002</v>
    </oc>
    <nc r="C75">
      <v>2643.8731499999999</v>
    </nc>
  </rcc>
  <rcc rId="17324" sId="8" numFmtId="34">
    <oc r="D75">
      <v>4.3239999999999998</v>
    </oc>
    <nc r="D75">
      <v>69.600999999999999</v>
    </nc>
  </rcc>
  <rcc rId="17325" sId="8" numFmtId="34">
    <oc r="D80">
      <v>38.148600000000002</v>
    </oc>
    <nc r="D80">
      <v>143.2996</v>
    </nc>
  </rcc>
  <rcc rId="17326" sId="8" numFmtId="34">
    <oc r="D82">
      <v>371.43299999999999</v>
    </oc>
    <nc r="D82">
      <v>742.86599999999999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район!$32:$32,район!$51:$51,район!$94:$94,район!$122:$124,район!$127:$128</formula>
    <oldFormula>район!$32:$32,район!$51:$51,район!$94:$94,район!$122:$124,район!$127:$128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9392" sId="3" numFmtId="4">
    <oc r="D121">
      <v>357.92500000000001</v>
    </oc>
    <nc r="D121">
      <v>1004.995</v>
    </nc>
  </rcc>
  <rcc rId="19393" sId="3" numFmtId="4">
    <oc r="C122">
      <f>SUM(C112:C113)</f>
    </oc>
    <nc r="C122">
      <v>0</v>
    </nc>
  </rcc>
  <rcc rId="19394" sId="3" numFmtId="4">
    <nc r="D122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район!$32:$32,район!$51:$51,район!$94:$94,район!$122:$124</formula>
    <oldFormula>район!$32:$32,район!$51:$51,район!$94:$94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7438" sId="10">
    <oc r="D54" t="inlineStr">
      <is>
        <t>исполнено на 01.02.2020 г.</t>
      </is>
    </oc>
    <nc r="D54" t="inlineStr">
      <is>
        <t>исполнено на 01.03.2020 г.</t>
      </is>
    </nc>
  </rcc>
  <rcc rId="17439" sId="10">
    <oc r="D3" t="inlineStr">
      <is>
        <t>исполнен на 01.02.2020 г.</t>
      </is>
    </oc>
    <nc r="D3" t="inlineStr">
      <is>
        <t>исполнен на 01.03.2020 г.</t>
      </is>
    </nc>
  </rcc>
  <rcc rId="17440" sId="10">
    <oc r="A1" t="inlineStr">
      <is>
        <t xml:space="preserve">                     Анализ исполнения бюджета Орининского сельского поселения на 01.02.2020 г.</t>
      </is>
    </oc>
    <nc r="A1" t="inlineStr">
      <is>
        <t xml:space="preserve">                     Анализ исполнения бюджета Орининского сельского поселения на 01.03.2020 г.</t>
      </is>
    </nc>
  </rcc>
  <rcc rId="17441" sId="10" numFmtId="4">
    <oc r="D6">
      <v>13.768739999999999</v>
    </oc>
    <nc r="D6">
      <v>31.536549999999998</v>
    </nc>
  </rcc>
  <rcc rId="17442" sId="10" numFmtId="4">
    <oc r="D8">
      <v>18.666550000000001</v>
    </oc>
    <nc r="D8">
      <v>34.544629999999998</v>
    </nc>
  </rcc>
  <rcc rId="17443" sId="10" numFmtId="4">
    <oc r="D9">
      <v>0.12701000000000001</v>
    </oc>
    <nc r="D9">
      <v>0.21648000000000001</v>
    </nc>
  </rcc>
  <rcc rId="17444" sId="10" numFmtId="4">
    <oc r="D10">
      <v>25.613409999999998</v>
    </oc>
    <nc r="D10">
      <v>49.448439999999998</v>
    </nc>
  </rcc>
  <rcc rId="17445" sId="10" numFmtId="4">
    <oc r="D11">
      <v>-3.4315799999999999</v>
    </oc>
    <nc r="D11">
      <v>-6.7440699999999998</v>
    </nc>
  </rcc>
  <rcc rId="17446" sId="10" numFmtId="4">
    <oc r="D15">
      <v>3.1266099999999999</v>
    </oc>
    <nc r="D15">
      <v>7.9936499999999997</v>
    </nc>
  </rcc>
  <rcc rId="17447" sId="10" numFmtId="4">
    <oc r="D16">
      <v>29.829219999999999</v>
    </oc>
    <nc r="D16">
      <v>67.311139999999995</v>
    </nc>
  </rcc>
  <rcc rId="17448" sId="10" numFmtId="4">
    <oc r="D18">
      <v>0.7</v>
    </oc>
    <nc r="D18">
      <v>2.4500000000000002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7405" sId="9" numFmtId="34">
    <oc r="C75">
      <v>1579.519</v>
    </oc>
    <nc r="C75">
      <v>4578.5190000000002</v>
    </nc>
  </rcc>
  <rcc rId="17406" sId="9" numFmtId="34">
    <oc r="D75">
      <v>0</v>
    </oc>
    <nc r="D75">
      <v>38.106000000000002</v>
    </nc>
  </rcc>
  <rcc rId="17407" sId="9" numFmtId="34">
    <oc r="D76">
      <v>0</v>
    </oc>
    <nc r="D76">
      <v>109.92885</v>
    </nc>
  </rcc>
  <rcc rId="17408" sId="9" numFmtId="34">
    <oc r="D81">
      <v>57.517620000000001</v>
    </oc>
    <nc r="D81">
      <v>193.5915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7356" sId="9">
    <oc r="D55" t="inlineStr">
      <is>
        <t>исполнено на 01.02.2020 г.</t>
      </is>
    </oc>
    <nc r="D55" t="inlineStr">
      <is>
        <t>исполнено на 01.03.2020 г.</t>
      </is>
    </nc>
  </rcc>
  <rcc rId="17357" sId="9">
    <oc r="D3" t="inlineStr">
      <is>
        <t>исполнен на 01.02.2020 г.</t>
      </is>
    </oc>
    <nc r="D3" t="inlineStr">
      <is>
        <t>исполнен на 01.03.2020 г.</t>
      </is>
    </nc>
  </rcc>
  <rcc rId="17358" sId="9">
    <oc r="A1" t="inlineStr">
      <is>
        <t xml:space="preserve">                     Анализ исполнения бюджета Москакасинского сельского поселения на 01.02.2020 г.</t>
      </is>
    </oc>
    <nc r="A1" t="inlineStr">
      <is>
        <t xml:space="preserve">                     Анализ исполнения бюджета Москакасинского сельского поселения на 01.03.2020 г.</t>
      </is>
    </nc>
  </rcc>
  <rcc rId="17359" sId="9" numFmtId="4">
    <oc r="D6">
      <v>152.35122999999999</v>
    </oc>
    <nc r="D6">
      <v>301.89855999999997</v>
    </nc>
  </rcc>
  <rcc rId="17360" sId="9" numFmtId="4">
    <oc r="D8">
      <v>29.250710000000002</v>
    </oc>
    <nc r="D8">
      <v>54.131819999999998</v>
    </nc>
  </rcc>
  <rcc rId="17361" sId="9" numFmtId="4">
    <oc r="D9">
      <v>0.19903000000000001</v>
    </oc>
    <nc r="D9">
      <v>0.33922999999999998</v>
    </nc>
  </rcc>
  <rcc rId="17362" sId="9" numFmtId="4">
    <oc r="D10">
      <v>40.13646</v>
    </oc>
    <nc r="D10">
      <v>77.48621</v>
    </nc>
  </rcc>
  <rcc rId="17363" sId="9" numFmtId="4">
    <oc r="D11">
      <v>-5.3773400000000002</v>
    </oc>
    <nc r="D11">
      <v>-10.568049999999999</v>
    </nc>
  </rcc>
  <rcc rId="17364" sId="9" numFmtId="4">
    <oc r="D13">
      <v>0</v>
    </oc>
    <nc r="D13">
      <v>7.1999999999999995E-2</v>
    </nc>
  </rcc>
  <rcc rId="17365" sId="9" numFmtId="4">
    <oc r="D15">
      <v>2.3001999999999998</v>
    </oc>
    <nc r="D15">
      <v>342.21944999999999</v>
    </nc>
  </rcc>
  <rcc rId="17366" sId="9" numFmtId="4">
    <oc r="D16">
      <v>120.22599</v>
    </oc>
    <nc r="D16">
      <v>198.61698999999999</v>
    </nc>
  </rcc>
  <rcc rId="17367" sId="9" numFmtId="4">
    <oc r="D18">
      <v>0</v>
    </oc>
    <nc r="D18">
      <v>0.4</v>
    </nc>
  </rcc>
  <rcc rId="17368" sId="9" numFmtId="4">
    <oc r="D43">
      <v>0</v>
    </oc>
    <nc r="D43">
      <v>89.486999999999995</v>
    </nc>
  </rcc>
  <rcc rId="17369" sId="9" numFmtId="4">
    <oc r="D45">
      <v>14.933299999999999</v>
    </oc>
    <nc r="D45">
      <v>29.866599999999998</v>
    </nc>
  </rcc>
  <rcc rId="17370" sId="9" numFmtId="4">
    <nc r="D47">
      <v>500</v>
    </nc>
  </rcc>
  <rcc rId="17371" sId="9">
    <nc r="E47">
      <f>SUM(D47/C47*100)</f>
    </nc>
  </rcc>
  <rcc rId="17372" sId="9">
    <nc r="F47">
      <f>SUM(D47-C47)</f>
    </nc>
  </rcc>
  <rcc rId="17373" sId="9">
    <oc r="D40">
      <f>D41+D43+D45+D46+D48+D49+D42+D44+D51</f>
    </oc>
    <nc r="D40">
      <f>D41+D43+D45+D46+D48+D49+D42+D44+D51+D47</f>
    </nc>
  </rcc>
  <rcc rId="17374" sId="9" numFmtId="34">
    <oc r="D59">
      <v>40.363869999999999</v>
    </oc>
    <nc r="D59">
      <v>274.16917000000001</v>
    </nc>
  </rcc>
  <rcc rId="17375" sId="9" numFmtId="34">
    <oc r="D66">
      <v>4.8</v>
    </oc>
    <nc r="D66">
      <v>21.15692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PrintArea" hidden="1" oldHidden="1">
    <formula>район!$A$1:$F$136</formula>
    <oldFormula>район!$A$1:$F$136</oldFormula>
  </rdn>
  <rdn rId="0" localSheetId="3" customView="1" name="Z_B30CE22D_C12F_4E12_8BB9_3AAE0A6991CC_.wvu.Rows" hidden="1" oldHidden="1">
    <formula>район!$32:$32,район!$51:$51,район!$94:$94</formula>
    <oldFormula>район!$32:$32,район!$51:$51,район!$94:$94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Яро!$19:$24,Яро!$28:$28,Яро!$36:$36,Яро!$43:$43,Яро!$54:$54,Яро!$56:$57,Яро!$64:$65,Яро!$75:$75,Яро!$80:$84,Яро!$87:$90,Яро!$92:$94</formula>
    <oldFormula>Яро!$19:$24,Яро!$28:$28,Яро!$36:$36,Яро!$43:$43,Яро!$54:$54,Яро!$56:$57,Яро!$64:$65,Яро!$75:$75,Яро!$80:$84,Яро!$87:$90,Яро!$92:$94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121.xml><?xml version="1.0" encoding="utf-8"?>
<revisions xmlns="http://schemas.openxmlformats.org/spreadsheetml/2006/main" xmlns:r="http://schemas.openxmlformats.org/officeDocument/2006/relationships">
  <rcc rId="17478" sId="10" numFmtId="4">
    <oc r="D28">
      <v>4.5</v>
    </oc>
    <nc r="D28">
      <v>9</v>
    </nc>
  </rcc>
  <rcc rId="17479" sId="10" numFmtId="4">
    <oc r="D41">
      <v>133.08099999999999</v>
    </oc>
    <nc r="D41">
      <v>266.16199999999998</v>
    </nc>
  </rcc>
  <rcc rId="17480" sId="10" numFmtId="4">
    <oc r="D43">
      <v>0</v>
    </oc>
    <nc r="D43">
      <v>72.888999999999996</v>
    </nc>
  </rcc>
  <rcc rId="17481" sId="10" numFmtId="4">
    <oc r="D45">
      <v>14.933299999999999</v>
    </oc>
    <nc r="D45">
      <v>29.866599999999998</v>
    </nc>
  </rcc>
  <rcc rId="17482" sId="10" numFmtId="4">
    <oc r="D30">
      <v>0</v>
    </oc>
    <nc r="D30">
      <v>0.13084999999999999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17512" sId="10" numFmtId="34">
    <oc r="D58">
      <v>40.233980000000003</v>
    </oc>
    <nc r="D58">
      <v>143.68393</v>
    </nc>
  </rcc>
  <rcc rId="17513" sId="10" numFmtId="34">
    <oc r="D65">
      <v>4</v>
    </oc>
    <nc r="D65">
      <v>19.795000000000002</v>
    </nc>
  </rcc>
  <rcc rId="17514" sId="10" numFmtId="34">
    <oc r="C74">
      <v>334.79899999999998</v>
    </oc>
    <nc r="C74">
      <v>864.399</v>
    </nc>
  </rcc>
  <rcc rId="17515" sId="10" numFmtId="34">
    <oc r="D74">
      <v>0</v>
    </oc>
    <nc r="D74">
      <v>24</v>
    </nc>
  </rcc>
  <rcc rId="17516" sId="10" numFmtId="34">
    <oc r="C75">
      <v>1324.3050000000001</v>
    </oc>
    <nc r="C75">
      <v>2457.8049999999998</v>
    </nc>
  </rcc>
  <rcc rId="17517" sId="10" numFmtId="34">
    <oc r="D75">
      <v>0</v>
    </oc>
    <nc r="D75">
      <v>86.006</v>
    </nc>
  </rcc>
  <rcc rId="17518" sId="10" numFmtId="34">
    <oc r="D80">
      <v>16.170000000000002</v>
    </oc>
    <nc r="D80">
      <v>106.46276</v>
    </nc>
  </rcc>
  <rcc rId="17519" sId="10" numFmtId="34">
    <oc r="D83">
      <v>100</v>
    </oc>
    <nc r="D83">
      <v>237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7809" sId="17" numFmtId="4">
    <oc r="D6">
      <v>3.9199899999999999</v>
    </oc>
    <nc r="D6">
      <v>15.688179999999999</v>
    </nc>
  </rcc>
  <rcc rId="17810" sId="17" numFmtId="4">
    <oc r="D8">
      <v>20.975840000000002</v>
    </oc>
    <nc r="D8">
      <v>38.818210000000001</v>
    </nc>
  </rcc>
  <rcc rId="17811" sId="17" numFmtId="4">
    <oc r="D9">
      <v>0.14274000000000001</v>
    </oc>
    <nc r="D9">
      <v>0.24329000000000001</v>
    </nc>
  </rcc>
  <rcc rId="17812" sId="17" numFmtId="4">
    <oc r="D10">
      <v>28.782060000000001</v>
    </oc>
    <nc r="D10">
      <v>55.565759999999997</v>
    </nc>
  </rcc>
  <rcc rId="17813" sId="17" numFmtId="4">
    <oc r="D11">
      <v>-3.8561200000000002</v>
    </oc>
    <nc r="D11">
      <v>-7.5784200000000004</v>
    </nc>
  </rcc>
  <rcc rId="17814" sId="17" numFmtId="4">
    <oc r="D15">
      <v>0.77456000000000003</v>
    </oc>
    <nc r="D15">
      <v>4.5334099999999999</v>
    </nc>
  </rcc>
  <rcc rId="17815" sId="17" numFmtId="4">
    <oc r="D16">
      <v>1.6183799999999999</v>
    </oc>
    <nc r="D16">
      <v>10.67493</v>
    </nc>
  </rcc>
  <rcc rId="17816" sId="17" numFmtId="4">
    <oc r="D28">
      <v>4.5</v>
    </oc>
    <nc r="D28">
      <v>9</v>
    </nc>
  </rcc>
  <rcc rId="17817" sId="17" numFmtId="4">
    <oc r="D30">
      <v>26.302569999999999</v>
    </oc>
    <nc r="D30">
      <v>73.054019999999994</v>
    </nc>
  </rcc>
  <rcc rId="17818" sId="17" numFmtId="4">
    <oc r="D39">
      <v>285.07799999999997</v>
    </oc>
    <nc r="D39">
      <v>570.15599999999995</v>
    </nc>
  </rcc>
  <rcc rId="17819" sId="17" numFmtId="4">
    <oc r="D42">
      <v>0</v>
    </oc>
    <nc r="D42">
      <v>85.924000000000007</v>
    </nc>
  </rcc>
  <rcc rId="17820" sId="17" numFmtId="4">
    <oc r="D43">
      <v>14.933299999999999</v>
    </oc>
    <nc r="D43">
      <v>29.866599999999998</v>
    </nc>
  </rcc>
  <rcc rId="17821" sId="17" numFmtId="4">
    <nc r="C50">
      <v>0</v>
    </nc>
  </rcc>
  <rcc rId="17822" sId="17" numFmtId="4">
    <nc r="D50">
      <v>0</v>
    </nc>
  </rcc>
  <rcc rId="17823" sId="17">
    <nc r="G52">
      <f>888.04888-D52</f>
    </nc>
  </rcc>
  <rfmt sheetId="17" sqref="D7">
    <dxf>
      <numFmt numFmtId="174" formatCode="0.0000"/>
    </dxf>
  </rfmt>
  <rfmt sheetId="17" sqref="D7">
    <dxf>
      <numFmt numFmtId="183" formatCode="0.000"/>
    </dxf>
  </rfmt>
  <rfmt sheetId="17" sqref="D7">
    <dxf>
      <numFmt numFmtId="2" formatCode="0.00"/>
    </dxf>
  </rfmt>
  <rfmt sheetId="17" sqref="D7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4883" sId="7">
    <oc r="C53" t="inlineStr">
      <is>
        <t>назначено на 2019 г.</t>
      </is>
    </oc>
    <nc r="C53" t="inlineStr">
      <is>
        <t>назначено на 2020 г.</t>
      </is>
    </nc>
  </rcc>
  <rcc rId="14884" sId="7">
    <oc r="C3" t="inlineStr">
      <is>
        <t>назначено на 2019 г.</t>
      </is>
    </oc>
    <nc r="C3" t="inlineStr">
      <is>
        <t>назначено на 2020 г.</t>
      </is>
    </nc>
  </rcc>
  <rcc rId="14885" sId="7">
    <oc r="D3" t="inlineStr">
      <is>
        <t>исполнен на 01.01.2020 г.</t>
      </is>
    </oc>
    <nc r="D3" t="inlineStr">
      <is>
        <t>исполнен на 01.02.2020 г.</t>
      </is>
    </nc>
  </rcc>
  <rcc rId="14886" sId="7">
    <oc r="D53" t="inlineStr">
      <is>
        <t>исполнено на 01.01.2020 г.</t>
      </is>
    </oc>
    <nc r="D53" t="inlineStr">
      <is>
        <t>исполнено на 01.02.2020 г.</t>
      </is>
    </nc>
  </rcc>
  <rcc rId="14887" sId="7">
    <oc r="A1" t="inlineStr">
      <is>
        <t xml:space="preserve">                     Анализ исполнения бюджета Кадикасинского сельского поселения на 01.01.2020 г.</t>
      </is>
    </oc>
    <nc r="A1" t="inlineStr">
      <is>
        <t xml:space="preserve">                     Анализ исполнения бюджета Кадикасинского сельского поселения на 01.02.2020 г.</t>
      </is>
    </nc>
  </rcc>
  <rcc rId="14888" sId="7" numFmtId="34">
    <oc r="C6">
      <v>472.03100000000001</v>
    </oc>
    <nc r="C6">
      <v>484.2</v>
    </nc>
  </rcc>
  <rcc rId="14889" sId="7" numFmtId="34">
    <oc r="D6">
      <v>480.15465999999998</v>
    </oc>
    <nc r="D6">
      <v>9.5171299999999999</v>
    </nc>
  </rcc>
  <rcc rId="14890" sId="7" numFmtId="34">
    <oc r="C8">
      <v>266.87</v>
    </oc>
    <nc r="C8">
      <v>310.93</v>
    </nc>
  </rcc>
  <rcc rId="14891" sId="7" numFmtId="34">
    <oc r="D8">
      <v>395.50096000000002</v>
    </oc>
    <nc r="D8">
      <v>31.559950000000001</v>
    </nc>
  </rcc>
  <rcc rId="14892" sId="7" numFmtId="34">
    <oc r="C9">
      <v>2.86</v>
    </oc>
    <nc r="C9">
      <v>3.33</v>
    </nc>
  </rcc>
  <rcc rId="14893" sId="7" numFmtId="34">
    <oc r="D9">
      <v>2.9070299999999998</v>
    </oc>
    <nc r="D9">
      <v>0.21473999999999999</v>
    </nc>
  </rcc>
  <rcc rId="14894" sId="7" numFmtId="34">
    <oc r="C10">
      <v>445.73</v>
    </oc>
    <nc r="C10">
      <v>519.33000000000004</v>
    </nc>
  </rcc>
  <rcc rId="14895" sId="7" numFmtId="34">
    <oc r="D10">
      <v>528.39061000000004</v>
    </oc>
    <nc r="D10">
      <v>43.305129999999998</v>
    </nc>
  </rcc>
  <rcc rId="14896" sId="7" numFmtId="4">
    <oc r="D11">
      <v>-57.915489999999998</v>
    </oc>
    <nc r="D11">
      <v>-5.80185</v>
    </nc>
  </rcc>
  <rcc rId="14897" sId="7" numFmtId="34">
    <oc r="C13">
      <v>54.2</v>
    </oc>
    <nc r="C13">
      <v>60</v>
    </nc>
  </rcc>
  <rcc rId="14898" sId="7" numFmtId="34">
    <oc r="D13">
      <v>54.19849</v>
    </oc>
    <nc r="D13">
      <v>0</v>
    </nc>
  </rcc>
  <rcc rId="14899" sId="7" numFmtId="34">
    <oc r="C15">
      <v>380</v>
    </oc>
    <nc r="C15">
      <v>340</v>
    </nc>
  </rcc>
  <rcc rId="14900" sId="7" numFmtId="34">
    <oc r="D15">
      <v>339.61500999999998</v>
    </oc>
    <nc r="D15">
      <v>9.1786499999999993</v>
    </nc>
  </rcc>
  <rcc rId="14901" sId="7" numFmtId="34">
    <oc r="C16">
      <v>2780</v>
    </oc>
    <nc r="C16">
      <v>2691</v>
    </nc>
  </rcc>
  <rcc rId="14902" sId="7" numFmtId="34">
    <oc r="D16">
      <v>2730.87662</v>
    </oc>
    <nc r="D16">
      <v>60.755299999999998</v>
    </nc>
  </rcc>
  <rcc rId="14903" sId="7" numFmtId="34">
    <oc r="C18">
      <v>25</v>
    </oc>
    <nc r="C18">
      <v>20</v>
    </nc>
  </rcc>
  <rcc rId="14904" sId="7" numFmtId="34">
    <oc r="D18">
      <v>18.899999999999999</v>
    </oc>
    <nc r="D18">
      <v>1</v>
    </nc>
  </rcc>
  <rcc rId="14905" sId="7" numFmtId="4">
    <oc r="D27">
      <v>115.49793</v>
    </oc>
    <nc r="D27">
      <v>0</v>
    </nc>
  </rcc>
  <rcc rId="14906" sId="7" numFmtId="4">
    <oc r="D28">
      <v>12</v>
    </oc>
    <nc r="D28">
      <v>1</v>
    </nc>
  </rcc>
  <rcc rId="14907" sId="7" numFmtId="4">
    <oc r="C30">
      <v>75</v>
    </oc>
    <nc r="C30">
      <v>0</v>
    </nc>
  </rcc>
  <rcc rId="14908" sId="7" numFmtId="4">
    <oc r="D30">
      <v>79.866569999999996</v>
    </oc>
    <nc r="D30">
      <v>0</v>
    </nc>
  </rcc>
  <rcc rId="14909" sId="7" numFmtId="34">
    <oc r="C41">
      <v>1101.0999999999999</v>
    </oc>
    <nc r="C41">
      <v>1196.5999999999999</v>
    </nc>
  </rcc>
  <rcc rId="14910" sId="7" numFmtId="34">
    <oc r="D41">
      <v>1101.0999999999999</v>
    </oc>
    <nc r="D41">
      <v>99.715000000000003</v>
    </nc>
  </rcc>
  <rcc rId="14911" sId="7" numFmtId="34">
    <oc r="C42">
      <f>192-42</f>
    </oc>
    <nc r="C42">
      <v>0</v>
    </nc>
  </rcc>
  <rcc rId="14912" sId="7" numFmtId="34">
    <oc r="D42">
      <v>150</v>
    </oc>
    <nc r="D42">
      <v>0</v>
    </nc>
  </rcc>
  <rcc rId="14913" sId="7" numFmtId="34">
    <oc r="C43">
      <v>2870.7764900000002</v>
    </oc>
    <nc r="C43">
      <v>1250.8800000000001</v>
    </nc>
  </rcc>
  <rcc rId="14914" sId="7" numFmtId="34">
    <oc r="D43">
      <v>2870.7764900000002</v>
    </oc>
    <nc r="D43">
      <v>0</v>
    </nc>
  </rcc>
  <rcc rId="14915" sId="7" numFmtId="34">
    <oc r="C45">
      <v>182.38900000000001</v>
    </oc>
    <nc r="C45">
      <v>183.38800000000001</v>
    </nc>
  </rcc>
  <rcc rId="14916" sId="7" numFmtId="34">
    <oc r="D45">
      <v>182.38900000000001</v>
    </oc>
    <nc r="D45">
      <v>14.933299999999999</v>
    </nc>
  </rcc>
  <rcc rId="14917" sId="7" numFmtId="34">
    <oc r="C46">
      <v>415.21699999999998</v>
    </oc>
    <nc r="C46"/>
  </rcc>
  <rcc rId="14918" sId="7" numFmtId="34">
    <oc r="C47">
      <v>2.49139</v>
    </oc>
    <nc r="C47"/>
  </rcc>
  <rcc rId="14919" sId="7" numFmtId="34">
    <oc r="D46">
      <v>388.36500000000001</v>
    </oc>
    <nc r="D46">
      <v>0</v>
    </nc>
  </rcc>
  <rcc rId="14920" sId="7" numFmtId="34">
    <oc r="D47">
      <v>162.10640000000001</v>
    </oc>
    <nc r="D47">
      <v>0</v>
    </nc>
  </rcc>
  <rcc rId="14921" sId="7" numFmtId="34">
    <oc r="C57">
      <v>1658.4880000000001</v>
    </oc>
    <nc r="C57">
      <v>1637</v>
    </nc>
  </rcc>
  <rcc rId="14922" sId="7" numFmtId="34">
    <oc r="D57">
      <v>1649.3450700000001</v>
    </oc>
    <nc r="D57">
      <v>33.744770000000003</v>
    </nc>
  </rcc>
  <rcc rId="14923" sId="7" numFmtId="34">
    <oc r="C60">
      <v>0</v>
    </oc>
    <nc r="C60">
      <v>44</v>
    </nc>
  </rcc>
  <rcc rId="14924" sId="7" numFmtId="34">
    <oc r="C62">
      <v>60.295999999999999</v>
    </oc>
    <nc r="C62">
      <v>4.9340000000000002</v>
    </nc>
  </rcc>
  <rcc rId="14925" sId="7" numFmtId="34">
    <oc r="D62">
      <v>60.295999999999999</v>
    </oc>
    <nc r="D62">
      <v>0</v>
    </nc>
  </rcc>
  <rcc rId="14926" sId="7" numFmtId="34">
    <oc r="C64">
      <v>179.892</v>
    </oc>
    <nc r="C64">
      <v>179.208</v>
    </nc>
  </rcc>
  <rcc rId="14927" sId="7" numFmtId="34">
    <oc r="D64">
      <v>179.892</v>
    </oc>
    <nc r="D64">
      <v>4</v>
    </nc>
  </rcc>
  <rcc rId="14928" sId="7" numFmtId="34">
    <oc r="C68">
      <v>2.7031100000000001</v>
    </oc>
    <nc r="C68">
      <v>1.6</v>
    </nc>
  </rcc>
  <rcc rId="14929" sId="7" numFmtId="34">
    <oc r="D68">
      <v>2.7031100000000001</v>
    </oc>
    <nc r="D68">
      <v>0</v>
    </nc>
  </rcc>
  <rcc rId="14930" sId="7" numFmtId="34">
    <oc r="D69">
      <v>2.4</v>
    </oc>
    <nc r="D69">
      <v>0</v>
    </nc>
  </rcc>
  <rcc rId="14931" sId="7" numFmtId="34">
    <oc r="D70">
      <v>2</v>
    </oc>
    <nc r="D70">
      <v>0</v>
    </nc>
  </rcc>
  <rcc rId="14932" sId="7" numFmtId="34">
    <oc r="C72">
      <v>6.7024999999999997</v>
    </oc>
    <nc r="C72">
      <v>10.021000000000001</v>
    </nc>
  </rcc>
  <rcc rId="14933" sId="7" numFmtId="34">
    <oc r="D72">
      <v>6.7024999999999997</v>
    </oc>
    <nc r="D72">
      <v>0</v>
    </nc>
  </rcc>
  <rcc rId="14934" sId="7" numFmtId="34">
    <oc r="C73">
      <v>643.9</v>
    </oc>
    <nc r="C73">
      <v>0</v>
    </nc>
  </rcc>
  <rcc rId="14935" sId="7" numFmtId="34">
    <oc r="D73">
      <v>640.72026000000005</v>
    </oc>
    <nc r="D73">
      <v>0</v>
    </nc>
  </rcc>
  <rcc rId="14936" sId="7" numFmtId="34">
    <oc r="C74">
      <v>3982.66093</v>
    </oc>
    <nc r="C74">
      <v>2084.4699999999998</v>
    </nc>
  </rcc>
  <rcc rId="14937" sId="7" numFmtId="34">
    <oc r="D74">
      <v>3839.1024499999999</v>
    </oc>
    <nc r="D74">
      <v>8.8559999999999999</v>
    </nc>
  </rcc>
  <rcc rId="14938" sId="7" numFmtId="34">
    <oc r="C75">
      <v>230.95400000000001</v>
    </oc>
    <nc r="C75">
      <v>50</v>
    </nc>
  </rcc>
  <rcc rId="14939" sId="7" numFmtId="34">
    <oc r="D75">
      <v>207.5</v>
    </oc>
    <nc r="D75">
      <v>7</v>
    </nc>
  </rcc>
  <rcc rId="14940" sId="7" numFmtId="34">
    <oc r="C79">
      <v>1204.95389</v>
    </oc>
    <nc r="C79">
      <v>1189.325</v>
    </nc>
  </rcc>
  <rcc rId="14941" sId="7" numFmtId="34">
    <oc r="D79">
      <v>1195.4241999999999</v>
    </oc>
    <nc r="D79">
      <v>0</v>
    </nc>
  </rcc>
  <rcc rId="14942" sId="7" numFmtId="34">
    <oc r="C81">
      <v>2277.6</v>
    </oc>
    <nc r="C81">
      <v>1975.2</v>
    </nc>
  </rcc>
  <rcc rId="14943" sId="7" numFmtId="34">
    <oc r="D81">
      <v>2277.6</v>
    </oc>
    <nc r="D81">
      <v>150</v>
    </nc>
  </rcc>
  <rcc rId="14944" sId="7" numFmtId="34">
    <nc r="C88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14540" sId="4" numFmtId="4">
    <oc r="C9">
      <v>0.86499999999999999</v>
    </oc>
    <nc r="C9">
      <v>1.03</v>
    </nc>
  </rcc>
  <rcc rId="14541" sId="4" numFmtId="4">
    <oc r="D9">
      <v>0.90188999999999997</v>
    </oc>
    <nc r="D9">
      <v>6.6140000000000004E-2</v>
    </nc>
  </rcc>
  <rcc rId="14542" sId="4" numFmtId="4">
    <oc r="C10">
      <v>138.30000000000001</v>
    </oc>
    <nc r="C10">
      <v>159.91</v>
    </nc>
  </rcc>
  <rcc rId="14543" sId="4" numFmtId="4">
    <oc r="D10">
      <v>163.92841000000001</v>
    </oc>
    <nc r="D10">
      <v>13.3348</v>
    </nc>
  </rcc>
  <rcc rId="14544" sId="4" numFmtId="4">
    <oc r="D11">
      <v>-17.967759999999998</v>
    </oc>
    <nc r="D11">
      <v>-1.78654</v>
    </nc>
  </rcc>
  <rcc rId="14545" sId="4" numFmtId="4">
    <oc r="C13">
      <v>42</v>
    </oc>
    <nc r="C13">
      <v>35</v>
    </nc>
  </rcc>
  <rcc rId="14546" sId="4" numFmtId="4">
    <oc r="D13">
      <v>40.129199999999997</v>
    </oc>
    <nc r="D13">
      <v>0</v>
    </nc>
  </rcc>
  <rcc rId="14547" sId="4" numFmtId="4">
    <oc r="C15">
      <v>50</v>
    </oc>
    <nc r="C15">
      <v>38</v>
    </nc>
  </rcc>
  <rcc rId="14548" sId="4" numFmtId="4">
    <oc r="D15">
      <v>48.325180000000003</v>
    </oc>
    <nc r="D15">
      <v>0.60509999999999997</v>
    </nc>
  </rcc>
  <rcc rId="14549" sId="4" numFmtId="4">
    <oc r="C16">
      <v>200</v>
    </oc>
    <nc r="C16">
      <v>193</v>
    </nc>
  </rcc>
  <rcc rId="14550" sId="4" numFmtId="4">
    <oc r="D16">
      <v>204.27932000000001</v>
    </oc>
    <nc r="D16">
      <v>4.6512900000000004</v>
    </nc>
  </rcc>
  <rcc rId="14551" sId="4" numFmtId="4">
    <oc r="C18">
      <v>5</v>
    </oc>
    <nc r="C18">
      <v>3</v>
    </nc>
  </rcc>
  <rcc rId="14552" sId="4" numFmtId="4">
    <oc r="D18">
      <v>1.7</v>
    </oc>
    <nc r="D18">
      <v>0.2</v>
    </nc>
  </rcc>
  <rcc rId="14553" sId="4" numFmtId="4">
    <oc r="C27">
      <v>55</v>
    </oc>
    <nc r="C27">
      <v>54.3</v>
    </nc>
  </rcc>
  <rcc rId="14554" sId="4" numFmtId="4">
    <oc r="D27">
      <v>54.324680000000001</v>
    </oc>
    <nc r="D27">
      <v>0</v>
    </nc>
  </rcc>
  <rcc rId="14555" sId="4" numFmtId="4">
    <oc r="C30">
      <v>6</v>
    </oc>
    <nc r="C30">
      <v>0</v>
    </nc>
  </rcc>
  <rcc rId="14556" sId="4" numFmtId="4">
    <oc r="D30">
      <v>6.3845299999999998</v>
    </oc>
    <nc r="D30">
      <v>0</v>
    </nc>
  </rcc>
  <rcc rId="14557" sId="4" numFmtId="34">
    <oc r="C40">
      <v>452.20800000000003</v>
    </oc>
    <nc r="C40">
      <v>100</v>
    </nc>
  </rcc>
  <rcc rId="14558" sId="4" numFmtId="4">
    <oc r="D40">
      <v>452.20800000000003</v>
    </oc>
    <nc r="D40">
      <v>0</v>
    </nc>
  </rcc>
  <rcc rId="14559" sId="4" numFmtId="34">
    <oc r="C39">
      <v>1200.7</v>
    </oc>
    <nc r="C39">
      <v>1194.4000000000001</v>
    </nc>
  </rcc>
  <rcc rId="14560" sId="4" numFmtId="4">
    <oc r="D39">
      <v>1200.7</v>
    </oc>
    <nc r="D39">
      <v>99.531999999999996</v>
    </nc>
  </rcc>
  <rcc rId="14561" sId="4" numFmtId="34">
    <oc r="C41">
      <v>1555.6595600000001</v>
    </oc>
    <nc r="C41">
      <v>386.53</v>
    </nc>
  </rcc>
  <rcc rId="14562" sId="4" numFmtId="4">
    <oc r="D41">
      <v>1555.6595600000001</v>
    </oc>
    <nc r="D41">
      <v>0</v>
    </nc>
  </rcc>
  <rcc rId="14563" sId="4" numFmtId="34">
    <oc r="C42">
      <v>91.480999999999995</v>
    </oc>
    <nc r="C42">
      <v>92.584999999999994</v>
    </nc>
  </rcc>
  <rcc rId="14564" sId="4" numFmtId="4">
    <oc r="D42">
      <v>91.480999999999995</v>
    </oc>
    <nc r="D42">
      <v>7.4667000000000003</v>
    </nc>
  </rcc>
  <rcc rId="14565" sId="4" numFmtId="34">
    <oc r="C43">
      <v>60.477960000000003</v>
    </oc>
    <nc r="C43">
      <v>0</v>
    </nc>
  </rcc>
  <rcc rId="14566" sId="4" numFmtId="4">
    <oc r="D43">
      <v>121.40846999999999</v>
    </oc>
    <nc r="D43">
      <v>0</v>
    </nc>
  </rcc>
  <rcc rId="14567" sId="4" numFmtId="34">
    <oc r="C44">
      <v>64.477000000000004</v>
    </oc>
    <nc r="C44">
      <v>0</v>
    </nc>
  </rcc>
  <rcc rId="14568" sId="4" numFmtId="4">
    <oc r="D44">
      <v>64.477000000000004</v>
    </oc>
    <nc r="D4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17603" sId="17">
    <oc r="A1" t="inlineStr">
      <is>
        <t xml:space="preserve">                     Анализ исполнения бюджета Юськасинского сельского поселения на 01.02.2020 г.</t>
      </is>
    </oc>
    <nc r="A1" t="inlineStr">
      <is>
        <t xml:space="preserve">                     Анализ исполнения бюджета Юськасинского сельского поселения на 01.03.2020 г.</t>
      </is>
    </nc>
  </rcc>
  <rcc rId="17604" sId="17">
    <oc r="D3" t="inlineStr">
      <is>
        <t>исполнен на 01.02.2020 г.</t>
      </is>
    </oc>
    <nc r="D3" t="inlineStr">
      <is>
        <t>исполнен на 01.03.2020 г.</t>
      </is>
    </nc>
  </rcc>
  <rcc rId="17605" sId="17">
    <oc r="D55" t="inlineStr">
      <is>
        <t>исполнено на 01.02.2020г.</t>
      </is>
    </oc>
    <nc r="D55" t="inlineStr">
      <is>
        <t>исполнено на 01.03.2020г.</t>
      </is>
    </nc>
  </rcc>
  <rdn rId="0" localSheetId="3" customView="1" name="Z_B30CE22D_C12F_4E12_8BB9_3AAE0A6991CC_.wvu.Rows" hidden="1" oldHidden="1">
    <oldFormula>район!$18:$19,район!$21:$21,район!$28:$32,район!$36:$36,район!$39:$39,район!$51:$52,район!#REF!,район!$63:$63,район!$70:$70,район!$87:$87,район!$122:$124,район!$127:$128</oldFormula>
  </rdn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17549" sId="11">
    <oc r="D54" t="inlineStr">
      <is>
        <t>исполнено на 01.02.2020 г.</t>
      </is>
    </oc>
    <nc r="D54" t="inlineStr">
      <is>
        <t>исполнено на 01.03.2020 г.</t>
      </is>
    </nc>
  </rcc>
  <rcc rId="17550" sId="11">
    <oc r="D3" t="inlineStr">
      <is>
        <t>исполнен на 01.02.2020 г.</t>
      </is>
    </oc>
    <nc r="D3" t="inlineStr">
      <is>
        <t>исполнен на 01.03.2020 г.</t>
      </is>
    </nc>
  </rcc>
  <rcc rId="17551" sId="11">
    <oc r="A1" t="inlineStr">
      <is>
        <t xml:space="preserve">                     Анализ исполнения бюджета Сятракасинского сельского поселения на 01.02.2020 г.</t>
      </is>
    </oc>
    <nc r="A1" t="inlineStr">
      <is>
        <t xml:space="preserve">                     Анализ исполнения бюджета Сятракасинского сельского поселения на 01.03.2020 г.</t>
      </is>
    </nc>
  </rcc>
  <rcc rId="17552" sId="11" numFmtId="4">
    <oc r="D6">
      <v>7.2460800000000001</v>
    </oc>
    <nc r="D6">
      <v>12.333333</v>
    </nc>
  </rcc>
  <rcc rId="17553" sId="11" numFmtId="4">
    <oc r="D8">
      <v>23.092639999999999</v>
    </oc>
    <nc r="D8">
      <v>42.735610000000001</v>
    </nc>
  </rcc>
  <rcc rId="17554" sId="11" numFmtId="4">
    <oc r="D9">
      <v>0.15712999999999999</v>
    </oc>
    <nc r="D9">
      <v>0.26780999999999999</v>
    </nc>
  </rcc>
  <rcc rId="17555" sId="11" numFmtId="4">
    <oc r="D10">
      <v>31.686679999999999</v>
    </oc>
    <nc r="D10">
      <v>61.173319999999997</v>
    </nc>
  </rcc>
  <rcc rId="17556" sId="11" numFmtId="4">
    <oc r="D11">
      <v>-4.2452399999999999</v>
    </oc>
    <nc r="D11">
      <v>-8.3431499999999996</v>
    </nc>
  </rcc>
  <rcc rId="17557" sId="11" numFmtId="4">
    <oc r="D13">
      <v>0</v>
    </oc>
    <nc r="D13">
      <v>1.9523999999999999</v>
    </nc>
  </rcc>
  <rcc rId="17558" sId="11" numFmtId="4">
    <oc r="D15">
      <v>1.8404700000000001</v>
    </oc>
    <nc r="D15">
      <v>7.5353599999999998</v>
    </nc>
  </rcc>
  <rcc rId="17559" sId="11" numFmtId="4">
    <oc r="D16">
      <v>14.608919999999999</v>
    </oc>
    <nc r="D16">
      <v>60.178849999999997</v>
    </nc>
  </rcc>
  <rcc rId="17560" sId="11" numFmtId="4">
    <oc r="D18">
      <v>0</v>
    </oc>
    <nc r="D18">
      <v>0.7</v>
    </nc>
  </rcc>
  <rcc rId="17561" sId="11" numFmtId="4">
    <oc r="D27">
      <v>0</v>
    </oc>
    <nc r="D27">
      <v>83.36</v>
    </nc>
  </rcc>
  <rcc rId="17562" sId="11" numFmtId="4">
    <oc r="D28">
      <v>0.56447999999999998</v>
    </oc>
    <nc r="D28">
      <v>1.12896</v>
    </nc>
  </rcc>
  <rcc rId="17563" sId="11" numFmtId="4">
    <oc r="D41">
      <v>253.054</v>
    </oc>
    <nc r="D41">
      <v>506.108</v>
    </nc>
  </rcc>
  <rcc rId="17564" sId="11" numFmtId="4">
    <oc r="D43">
      <v>0</v>
    </oc>
    <nc r="D43">
      <v>79.03</v>
    </nc>
  </rcc>
  <rcc rId="17565" sId="11" numFmtId="4">
    <oc r="D44">
      <v>14.933299999999999</v>
    </oc>
    <nc r="D44">
      <v>29.866599999999998</v>
    </nc>
  </rcc>
  <rcc rId="17566" sId="11" numFmtId="34">
    <oc r="D58">
      <v>20.3</v>
    </oc>
    <nc r="D58">
      <v>139.58251000000001</v>
    </nc>
  </rcc>
  <rcc rId="17567" sId="11" numFmtId="34">
    <oc r="D65">
      <v>4.8</v>
    </oc>
    <nc r="D65">
      <v>20.593260000000001</v>
    </nc>
  </rcc>
  <rcc rId="17568" sId="11" numFmtId="34">
    <oc r="C75">
      <v>1787.778</v>
    </oc>
    <nc r="C75">
      <v>4383.1779999999999</v>
    </nc>
  </rcc>
  <rcc rId="17569" sId="11" numFmtId="34">
    <oc r="D75">
      <v>0</v>
    </oc>
    <nc r="D75">
      <v>92.201999999999998</v>
    </nc>
  </rcc>
  <rcc rId="17570" sId="11" numFmtId="34">
    <oc r="D76">
      <v>0</v>
    </oc>
    <nc r="D76">
      <v>7</v>
    </nc>
  </rcc>
  <rcc rId="17571" sId="11" numFmtId="34">
    <oc r="C80">
      <v>653</v>
    </oc>
    <nc r="C80">
      <v>832.3</v>
    </nc>
  </rcc>
  <rcc rId="17572" sId="11" numFmtId="34">
    <oc r="D80">
      <v>0</v>
    </oc>
    <nc r="D80">
      <v>14.16</v>
    </nc>
  </rcc>
  <rcc rId="17573" sId="11" numFmtId="34">
    <oc r="D82">
      <v>158.78299999999999</v>
    </oc>
    <nc r="D82">
      <v>365.28802000000002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17930" sId="17" numFmtId="34">
    <oc r="D59">
      <v>31.869700000000002</v>
    </oc>
    <nc r="D59">
      <v>192.57861</v>
    </nc>
  </rcc>
  <rcc rId="17931" sId="17" numFmtId="34">
    <oc r="D66">
      <v>4</v>
    </oc>
    <nc r="D66">
      <v>19.795000000000002</v>
    </nc>
  </rcc>
  <rcc rId="17932" sId="17" numFmtId="34">
    <oc r="C76">
      <v>1388.54</v>
    </oc>
    <nc r="C76">
      <v>1981.84</v>
    </nc>
  </rcc>
  <rcc rId="17933" sId="17" numFmtId="34">
    <oc r="D76">
      <v>0</v>
    </oc>
    <nc r="D76">
      <v>217.80199999999999</v>
    </nc>
  </rcc>
  <rcc rId="17934" sId="17" numFmtId="34">
    <oc r="C81">
      <v>464.697</v>
    </oc>
    <nc r="C81">
      <v>1002.797</v>
    </nc>
  </rcc>
  <rcc rId="17935" sId="17" numFmtId="34">
    <oc r="D83">
      <v>113.18692</v>
    </oc>
    <nc r="D83">
      <v>315.60410999999999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7898" sId="17" numFmtId="4">
    <oc r="D6">
      <v>15.688179999999999</v>
    </oc>
    <nc r="D6">
      <v>16.691079999999999</v>
    </nc>
  </rcc>
  <rcc rId="17899" sId="17" numFmtId="4">
    <oc r="D18">
      <v>0</v>
    </oc>
    <nc r="D18">
      <v>1.1000000000000001</v>
    </nc>
  </rcc>
  <rfmt sheetId="17" sqref="C38">
    <dxf>
      <numFmt numFmtId="174" formatCode="0.0000"/>
    </dxf>
  </rfmt>
  <rfmt sheetId="17" sqref="C38">
    <dxf>
      <numFmt numFmtId="183" formatCode="0.000"/>
    </dxf>
  </rfmt>
  <rfmt sheetId="17" sqref="C38">
    <dxf>
      <numFmt numFmtId="2" formatCode="0.00"/>
    </dxf>
  </rfmt>
  <rfmt sheetId="17" sqref="C38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Тор!$19:$24,Тор!$32:$34,Тор!$39:$39,Тор!$46:$50,Тор!$57:$57,Тор!$59:$60,Тор!$67:$68,Тор!$75:$75,Тор!$79:$80,Тор!$86:$95,Тор!$142:$142</formula>
    <oldFormula>Тор!$19:$24,Тор!$32:$34,Тор!$39:$39,Тор!$46:$50,Тор!$57:$57,Тор!$59:$60,Тор!$67:$68,Тор!$75:$75,Тор!$79:$80,Тор!$86:$95,Тор!$142:$142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5">
  <userInfo guid="{7BBE16C8-E29D-45F3-9C1F-09DE9972F0F9}" name="morgau_fin7" id="-1071139096" dateTime="2020-01-22T14:46:30"/>
  <userInfo guid="{34B87E18-4826-4EDF-9254-3F5242D847A3}" name="morgau_fin3" id="-534288278" dateTime="2020-01-28T16:50:26"/>
  <userInfo guid="{34B87E18-4826-4EDF-9254-3F5242D847A3}" name="morgau_fin2" id="-400038847" dateTime="2020-01-29T14:40:32"/>
  <userInfo guid="{DC5B4C67-E241-4FB3-A84B-C5F03714045C}" name="morgau_fin3" id="-534271419" dateTime="2020-02-05T08:52:32"/>
  <userInfo guid="{2DE631F7-786A-4EFF-B5F8-F79E35321049}" name="morgau_fin3" id="-534249898" dateTime="2020-02-07T16:12:2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4" Type="http://schemas.openxmlformats.org/officeDocument/2006/relationships/printerSettings" Target="../printerSettings/printerSettings20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20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8.bin"/><Relationship Id="rId2" Type="http://schemas.openxmlformats.org/officeDocument/2006/relationships/printerSettings" Target="../printerSettings/printerSettings207.bin"/><Relationship Id="rId1" Type="http://schemas.openxmlformats.org/officeDocument/2006/relationships/printerSettings" Target="../printerSettings/printerSettings20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zoomScale="80" zoomScaleNormal="100" zoomScaleSheetLayoutView="80" workbookViewId="0">
      <selection activeCell="B30" sqref="B30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76" t="s">
        <v>432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123"/>
      <c r="M1" s="123"/>
      <c r="N1" s="123"/>
      <c r="O1" s="123"/>
    </row>
    <row r="2" spans="1:15" ht="33.75" customHeight="1">
      <c r="A2" s="474" t="s">
        <v>177</v>
      </c>
      <c r="B2" s="475" t="s">
        <v>178</v>
      </c>
      <c r="C2" s="471" t="s">
        <v>179</v>
      </c>
      <c r="D2" s="472"/>
      <c r="E2" s="472"/>
      <c r="F2" s="471" t="s">
        <v>180</v>
      </c>
      <c r="G2" s="472"/>
      <c r="H2" s="472"/>
      <c r="I2" s="471" t="s">
        <v>181</v>
      </c>
      <c r="J2" s="472"/>
      <c r="K2" s="477"/>
    </row>
    <row r="3" spans="1:15" ht="53.25" customHeight="1">
      <c r="A3" s="474"/>
      <c r="B3" s="475"/>
      <c r="C3" s="78" t="s">
        <v>404</v>
      </c>
      <c r="D3" s="78" t="s">
        <v>411</v>
      </c>
      <c r="E3" s="138" t="s">
        <v>316</v>
      </c>
      <c r="F3" s="78" t="s">
        <v>404</v>
      </c>
      <c r="G3" s="78" t="s">
        <v>411</v>
      </c>
      <c r="H3" s="138" t="s">
        <v>316</v>
      </c>
      <c r="I3" s="78" t="s">
        <v>404</v>
      </c>
      <c r="J3" s="78" t="s">
        <v>411</v>
      </c>
      <c r="K3" s="78" t="s">
        <v>316</v>
      </c>
    </row>
    <row r="4" spans="1:15" s="80" customFormat="1" ht="30.75" customHeight="1">
      <c r="A4" s="79" t="s">
        <v>4</v>
      </c>
      <c r="B4" s="76"/>
      <c r="C4" s="201">
        <f>SUM(C5:C13)</f>
        <v>180429.2</v>
      </c>
      <c r="D4" s="201">
        <f>SUM(D5:D13)</f>
        <v>23905.953700000005</v>
      </c>
      <c r="E4" s="201">
        <f>D4/C4*100</f>
        <v>13.249492709605764</v>
      </c>
      <c r="F4" s="201">
        <f>SUM(F5:F13)</f>
        <v>142500</v>
      </c>
      <c r="G4" s="201">
        <f>SUM(G5:G13)</f>
        <v>19641.454019999997</v>
      </c>
      <c r="H4" s="201">
        <f>G4/F4*100</f>
        <v>13.783476505263156</v>
      </c>
      <c r="I4" s="201">
        <f>I5+I7+I6+I8+I10+I11+I12+I13</f>
        <v>37929.199999999997</v>
      </c>
      <c r="J4" s="201">
        <f>J5+J6+J7+J8+J10+J11+J12+J13</f>
        <v>4264.4996800000008</v>
      </c>
      <c r="K4" s="201">
        <f>J4/I4*100</f>
        <v>11.243315651266046</v>
      </c>
    </row>
    <row r="5" spans="1:15" ht="27" customHeight="1">
      <c r="A5" s="81" t="s">
        <v>182</v>
      </c>
      <c r="B5" s="77">
        <v>10102</v>
      </c>
      <c r="C5" s="202">
        <f t="shared" ref="C5:C13" si="0">F5+I5</f>
        <v>124527</v>
      </c>
      <c r="D5" s="202">
        <f t="shared" ref="D5:D13" si="1">G5+J5</f>
        <v>16758.603350000001</v>
      </c>
      <c r="E5" s="203">
        <f t="shared" ref="E5:E12" si="2">D5/C5*100</f>
        <v>13.45780702177038</v>
      </c>
      <c r="F5" s="202">
        <f>район!C5</f>
        <v>118798.5</v>
      </c>
      <c r="G5" s="202">
        <f>район!D5</f>
        <v>15990.18506</v>
      </c>
      <c r="H5" s="203">
        <f t="shared" ref="H5:H41" si="3">G5/F5*100</f>
        <v>13.459921682512826</v>
      </c>
      <c r="I5" s="202">
        <f>Справка!I31</f>
        <v>5728.5</v>
      </c>
      <c r="J5" s="202">
        <f>Справка!J31</f>
        <v>768.41829000000007</v>
      </c>
      <c r="K5" s="203">
        <f t="shared" ref="K5:K12" si="4">J5/I5*100</f>
        <v>13.413952867242735</v>
      </c>
    </row>
    <row r="6" spans="1:15" ht="41.25" customHeight="1">
      <c r="A6" s="81" t="s">
        <v>269</v>
      </c>
      <c r="B6" s="77">
        <v>10300</v>
      </c>
      <c r="C6" s="202">
        <f t="shared" si="0"/>
        <v>14643.699999999999</v>
      </c>
      <c r="D6" s="202">
        <f t="shared" si="1"/>
        <v>2300.8048199999998</v>
      </c>
      <c r="E6" s="203">
        <f t="shared" si="2"/>
        <v>15.711909012066622</v>
      </c>
      <c r="F6" s="202">
        <f>район!C7</f>
        <v>5337</v>
      </c>
      <c r="G6" s="202">
        <f>район!D7</f>
        <v>838.54399000000001</v>
      </c>
      <c r="H6" s="203">
        <f t="shared" si="3"/>
        <v>15.711897882705639</v>
      </c>
      <c r="I6" s="202">
        <f>Справка!L31+Справка!R31+Справка!O31</f>
        <v>9306.6999999999989</v>
      </c>
      <c r="J6" s="202">
        <f>Справка!M31+Справка!S31+Справка!P31+Справка!V31</f>
        <v>1462.2608299999997</v>
      </c>
      <c r="K6" s="203">
        <f t="shared" si="4"/>
        <v>15.711915394285835</v>
      </c>
    </row>
    <row r="7" spans="1:15" ht="19.5" customHeight="1">
      <c r="A7" s="81" t="s">
        <v>183</v>
      </c>
      <c r="B7" s="77">
        <v>10500</v>
      </c>
      <c r="C7" s="202">
        <f t="shared" si="0"/>
        <v>12799.5</v>
      </c>
      <c r="D7" s="202">
        <f t="shared" si="1"/>
        <v>1518.2362799999999</v>
      </c>
      <c r="E7" s="203">
        <f t="shared" si="2"/>
        <v>11.861684284542363</v>
      </c>
      <c r="F7" s="202">
        <f>район!C12</f>
        <v>12264.5</v>
      </c>
      <c r="G7" s="202">
        <f>район!D12</f>
        <v>1477.1635799999999</v>
      </c>
      <c r="H7" s="203">
        <f t="shared" si="3"/>
        <v>12.044221778303232</v>
      </c>
      <c r="I7" s="202">
        <f>Справка!X31</f>
        <v>535</v>
      </c>
      <c r="J7" s="202">
        <f>Справка!Y31</f>
        <v>41.072700000000005</v>
      </c>
      <c r="K7" s="203">
        <f t="shared" si="4"/>
        <v>7.6771401869158886</v>
      </c>
    </row>
    <row r="8" spans="1:15" ht="19.5" customHeight="1">
      <c r="A8" s="81" t="s">
        <v>184</v>
      </c>
      <c r="B8" s="77">
        <v>10601</v>
      </c>
      <c r="C8" s="202">
        <f t="shared" si="0"/>
        <v>5373</v>
      </c>
      <c r="D8" s="202">
        <f t="shared" si="1"/>
        <v>537.51107000000002</v>
      </c>
      <c r="E8" s="203">
        <f t="shared" si="2"/>
        <v>10.003928345430859</v>
      </c>
      <c r="F8" s="202"/>
      <c r="G8" s="202"/>
      <c r="H8" s="203"/>
      <c r="I8" s="202">
        <f>Справка!AA31</f>
        <v>5373</v>
      </c>
      <c r="J8" s="202">
        <f>Справка!AB31</f>
        <v>537.51107000000002</v>
      </c>
      <c r="K8" s="203">
        <f t="shared" si="4"/>
        <v>10.003928345430859</v>
      </c>
    </row>
    <row r="9" spans="1:15" ht="19.5" customHeight="1">
      <c r="A9" s="81" t="s">
        <v>270</v>
      </c>
      <c r="B9" s="77">
        <v>10604</v>
      </c>
      <c r="C9" s="202">
        <f t="shared" si="0"/>
        <v>2300</v>
      </c>
      <c r="D9" s="202">
        <f t="shared" si="1"/>
        <v>189.27432999999999</v>
      </c>
      <c r="E9" s="203">
        <f t="shared" si="2"/>
        <v>8.2293186956521733</v>
      </c>
      <c r="F9" s="202">
        <f>район!C17</f>
        <v>2300</v>
      </c>
      <c r="G9" s="202">
        <f>район!D20</f>
        <v>189.27432999999999</v>
      </c>
      <c r="H9" s="203">
        <f t="shared" si="3"/>
        <v>8.2293186956521733</v>
      </c>
      <c r="I9" s="202"/>
      <c r="J9" s="202"/>
      <c r="K9" s="203"/>
    </row>
    <row r="10" spans="1:15" ht="19.5" customHeight="1">
      <c r="A10" s="81" t="s">
        <v>185</v>
      </c>
      <c r="B10" s="77">
        <v>10606</v>
      </c>
      <c r="C10" s="202">
        <f t="shared" si="0"/>
        <v>16870</v>
      </c>
      <c r="D10" s="202">
        <f t="shared" si="1"/>
        <v>1442.13679</v>
      </c>
      <c r="E10" s="203">
        <f t="shared" si="2"/>
        <v>8.5485286899822164</v>
      </c>
      <c r="F10" s="202"/>
      <c r="G10" s="202"/>
      <c r="H10" s="203">
        <v>0</v>
      </c>
      <c r="I10" s="202">
        <f>Справка!AD31</f>
        <v>16870</v>
      </c>
      <c r="J10" s="202">
        <f>Справка!AE31</f>
        <v>1442.13679</v>
      </c>
      <c r="K10" s="203">
        <f t="shared" si="4"/>
        <v>8.5485286899822164</v>
      </c>
    </row>
    <row r="11" spans="1:15" ht="33.75" customHeight="1">
      <c r="A11" s="81" t="s">
        <v>186</v>
      </c>
      <c r="B11" s="77">
        <v>10701</v>
      </c>
      <c r="C11" s="202">
        <f t="shared" si="0"/>
        <v>1100</v>
      </c>
      <c r="D11" s="202">
        <f t="shared" si="1"/>
        <v>479.49052999999998</v>
      </c>
      <c r="E11" s="203">
        <f t="shared" si="2"/>
        <v>43.590048181818183</v>
      </c>
      <c r="F11" s="202">
        <f>район!C22</f>
        <v>1100</v>
      </c>
      <c r="G11" s="202">
        <f>район!D22</f>
        <v>479.49052999999998</v>
      </c>
      <c r="H11" s="203">
        <f t="shared" si="3"/>
        <v>43.590048181818183</v>
      </c>
      <c r="I11" s="202"/>
      <c r="J11" s="202"/>
      <c r="K11" s="203">
        <v>0</v>
      </c>
    </row>
    <row r="12" spans="1:15" ht="19.5" customHeight="1">
      <c r="A12" s="81" t="s">
        <v>187</v>
      </c>
      <c r="B12" s="77">
        <v>10800</v>
      </c>
      <c r="C12" s="202">
        <f t="shared" si="0"/>
        <v>2816</v>
      </c>
      <c r="D12" s="202">
        <f t="shared" si="1"/>
        <v>679.89652999999998</v>
      </c>
      <c r="E12" s="203">
        <f t="shared" si="2"/>
        <v>24.144052911931819</v>
      </c>
      <c r="F12" s="202">
        <f>район!C24</f>
        <v>2700</v>
      </c>
      <c r="G12" s="202">
        <f>район!D24</f>
        <v>666.79652999999996</v>
      </c>
      <c r="H12" s="203">
        <f t="shared" si="3"/>
        <v>24.696167777777777</v>
      </c>
      <c r="I12" s="202">
        <f>Справка!AG31</f>
        <v>116</v>
      </c>
      <c r="J12" s="202">
        <f>Справка!AH31</f>
        <v>13.1</v>
      </c>
      <c r="K12" s="203">
        <f t="shared" si="4"/>
        <v>11.293103448275863</v>
      </c>
    </row>
    <row r="13" spans="1:15" ht="19.5" customHeight="1">
      <c r="A13" s="81" t="s">
        <v>188</v>
      </c>
      <c r="B13" s="77">
        <v>10900</v>
      </c>
      <c r="C13" s="202">
        <f t="shared" si="0"/>
        <v>0</v>
      </c>
      <c r="D13" s="202">
        <f t="shared" si="1"/>
        <v>0</v>
      </c>
      <c r="E13" s="203"/>
      <c r="F13" s="202">
        <f>район!C28</f>
        <v>0</v>
      </c>
      <c r="G13" s="202">
        <f>район!D28</f>
        <v>0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0.25" customHeight="1">
      <c r="A14" s="79" t="s">
        <v>12</v>
      </c>
      <c r="B14" s="76"/>
      <c r="C14" s="201">
        <f>SUM(C15:C21)</f>
        <v>23615.8</v>
      </c>
      <c r="D14" s="201">
        <f>SUM(D15:D21)</f>
        <v>2391.4444499999995</v>
      </c>
      <c r="E14" s="201">
        <f t="shared" ref="E14:E39" si="5">D14/C14*100</f>
        <v>10.126459616019782</v>
      </c>
      <c r="F14" s="201">
        <f>F15+F16+F17+F18+F20+F21+F19</f>
        <v>20634</v>
      </c>
      <c r="G14" s="201">
        <f>G15+G16+G17+G18+G20+G21+G19</f>
        <v>1758.6215999999999</v>
      </c>
      <c r="H14" s="201">
        <f t="shared" si="3"/>
        <v>8.5229310846176212</v>
      </c>
      <c r="I14" s="204">
        <f>I15+I16+I17+I18+I20+I21+I26</f>
        <v>2981.8</v>
      </c>
      <c r="J14" s="204">
        <f>J15+J16+J17+J18+J20+J21+J26</f>
        <v>632.82285000000002</v>
      </c>
      <c r="K14" s="201">
        <f>J14/I14*100</f>
        <v>21.222846938091084</v>
      </c>
    </row>
    <row r="15" spans="1:15" ht="52.5" customHeight="1">
      <c r="A15" s="81" t="s">
        <v>189</v>
      </c>
      <c r="B15" s="77">
        <v>11100</v>
      </c>
      <c r="C15" s="202">
        <f t="shared" ref="C15:D21" si="6">F15+I15</f>
        <v>12881.8</v>
      </c>
      <c r="D15" s="202">
        <f t="shared" si="6"/>
        <v>1846.3856999999998</v>
      </c>
      <c r="E15" s="202">
        <f t="shared" si="5"/>
        <v>14.333289602384761</v>
      </c>
      <c r="F15" s="202">
        <f>район!C34</f>
        <v>9900</v>
      </c>
      <c r="G15" s="202">
        <f>район!D34</f>
        <v>1317.6924999999999</v>
      </c>
      <c r="H15" s="202">
        <f t="shared" si="3"/>
        <v>13.310025252525252</v>
      </c>
      <c r="I15" s="202">
        <f>Справка!AP31+Справка!AS31+Справка!AM31</f>
        <v>2981.8</v>
      </c>
      <c r="J15" s="202">
        <f>Справка!AQ31+Справка!AT31+Справка!AN31</f>
        <v>528.69320000000005</v>
      </c>
      <c r="K15" s="203">
        <f>J15/I15*100</f>
        <v>17.730672748004562</v>
      </c>
    </row>
    <row r="16" spans="1:15" ht="33" customHeight="1">
      <c r="A16" s="81" t="s">
        <v>190</v>
      </c>
      <c r="B16" s="77">
        <v>11200</v>
      </c>
      <c r="C16" s="202">
        <f t="shared" si="6"/>
        <v>550</v>
      </c>
      <c r="D16" s="202">
        <f t="shared" si="6"/>
        <v>29.977599999999999</v>
      </c>
      <c r="E16" s="202">
        <f t="shared" si="5"/>
        <v>5.4504727272727278</v>
      </c>
      <c r="F16" s="202">
        <f>район!C43</f>
        <v>550</v>
      </c>
      <c r="G16" s="202">
        <f>район!D43</f>
        <v>29.977599999999999</v>
      </c>
      <c r="H16" s="202">
        <f t="shared" si="3"/>
        <v>5.4504727272727278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191</v>
      </c>
      <c r="B17" s="77">
        <v>11300</v>
      </c>
      <c r="C17" s="202">
        <f t="shared" si="6"/>
        <v>84</v>
      </c>
      <c r="D17" s="202">
        <f t="shared" si="6"/>
        <v>101.68965</v>
      </c>
      <c r="E17" s="202">
        <f>D17/C17*100</f>
        <v>121.05910714285714</v>
      </c>
      <c r="F17" s="202">
        <f>район!C45</f>
        <v>84</v>
      </c>
      <c r="G17" s="202">
        <f>район!D45</f>
        <v>0</v>
      </c>
      <c r="H17" s="202">
        <f t="shared" si="3"/>
        <v>0</v>
      </c>
      <c r="I17" s="202">
        <f>Справка!AY31</f>
        <v>0</v>
      </c>
      <c r="J17" s="202">
        <f>Справка!AZ31</f>
        <v>101.68965</v>
      </c>
      <c r="K17" s="203" t="e">
        <f>J17/I17*100</f>
        <v>#DIV/0!</v>
      </c>
    </row>
    <row r="18" spans="1:13" ht="33" customHeight="1">
      <c r="A18" s="81" t="s">
        <v>192</v>
      </c>
      <c r="B18" s="77">
        <v>11400</v>
      </c>
      <c r="C18" s="202">
        <f t="shared" si="6"/>
        <v>4500</v>
      </c>
      <c r="D18" s="202">
        <f t="shared" si="6"/>
        <v>73.504390000000001</v>
      </c>
      <c r="E18" s="202">
        <f t="shared" si="5"/>
        <v>1.6334308888888889</v>
      </c>
      <c r="F18" s="202">
        <f>район!C48</f>
        <v>4500</v>
      </c>
      <c r="G18" s="202">
        <f>район!D48</f>
        <v>69.084389999999999</v>
      </c>
      <c r="H18" s="202">
        <f t="shared" si="3"/>
        <v>1.5352086666666667</v>
      </c>
      <c r="I18" s="202">
        <f>Справка!BE31</f>
        <v>0</v>
      </c>
      <c r="J18" s="202">
        <f>Справка!BF31</f>
        <v>4.42</v>
      </c>
      <c r="K18" s="203" t="e">
        <f>J18/I18*100</f>
        <v>#DIV/0!</v>
      </c>
    </row>
    <row r="19" spans="1:13" ht="23.25" customHeight="1">
      <c r="A19" s="81" t="s">
        <v>239</v>
      </c>
      <c r="B19" s="77">
        <v>11500</v>
      </c>
      <c r="C19" s="202">
        <f t="shared" si="6"/>
        <v>0</v>
      </c>
      <c r="D19" s="202">
        <f t="shared" si="6"/>
        <v>0</v>
      </c>
      <c r="E19" s="202"/>
      <c r="F19" s="202">
        <f>район!C51</f>
        <v>0</v>
      </c>
      <c r="G19" s="202">
        <f>район!D51</f>
        <v>0</v>
      </c>
      <c r="H19" s="202"/>
      <c r="I19" s="202"/>
      <c r="J19" s="202"/>
      <c r="K19" s="203"/>
    </row>
    <row r="20" spans="1:13" ht="22.5" customHeight="1">
      <c r="A20" s="81" t="s">
        <v>193</v>
      </c>
      <c r="B20" s="77">
        <v>11600</v>
      </c>
      <c r="C20" s="202">
        <f t="shared" si="6"/>
        <v>5600</v>
      </c>
      <c r="D20" s="202">
        <f t="shared" si="6"/>
        <v>344.19667000000004</v>
      </c>
      <c r="E20" s="202">
        <f t="shared" si="5"/>
        <v>6.1463691071428581</v>
      </c>
      <c r="F20" s="202">
        <f>район!C53</f>
        <v>5600</v>
      </c>
      <c r="G20" s="202">
        <f>район!D53</f>
        <v>341.86711000000003</v>
      </c>
      <c r="H20" s="202">
        <f t="shared" si="3"/>
        <v>6.1047698214285715</v>
      </c>
      <c r="I20" s="202">
        <f>Справка!BN31</f>
        <v>0</v>
      </c>
      <c r="J20" s="202">
        <f>Справка!BO31</f>
        <v>2.3295599999999999</v>
      </c>
      <c r="K20" s="203">
        <v>0</v>
      </c>
    </row>
    <row r="21" spans="1:13" ht="24" customHeight="1">
      <c r="A21" s="81" t="s">
        <v>194</v>
      </c>
      <c r="B21" s="77">
        <v>11700</v>
      </c>
      <c r="C21" s="202">
        <f t="shared" si="6"/>
        <v>0</v>
      </c>
      <c r="D21" s="202">
        <f t="shared" si="6"/>
        <v>-4.3095600000000003</v>
      </c>
      <c r="E21" s="202"/>
      <c r="F21" s="202">
        <f>район!C57</f>
        <v>0</v>
      </c>
      <c r="G21" s="202">
        <f>район!D57</f>
        <v>0</v>
      </c>
      <c r="H21" s="202"/>
      <c r="I21" s="202">
        <f>Справка!BQ31</f>
        <v>0</v>
      </c>
      <c r="J21" s="202">
        <f>Справка!BR31</f>
        <v>-4.3095600000000003</v>
      </c>
      <c r="K21" s="203">
        <v>0</v>
      </c>
    </row>
    <row r="22" spans="1:13" ht="45.75" hidden="1" customHeight="1">
      <c r="A22" s="79" t="s">
        <v>195</v>
      </c>
      <c r="B22" s="76">
        <v>30000</v>
      </c>
      <c r="C22" s="456">
        <f>F22+I22</f>
        <v>0</v>
      </c>
      <c r="D22" s="201">
        <f t="shared" ref="D22" si="7">G22+J22</f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29.25" customHeight="1">
      <c r="A23" s="79" t="s">
        <v>16</v>
      </c>
      <c r="B23" s="76">
        <v>10000</v>
      </c>
      <c r="C23" s="204">
        <f>SUM(C4,C14,C22,)</f>
        <v>204045</v>
      </c>
      <c r="D23" s="204">
        <f>SUM(D4,D14,)</f>
        <v>26297.398150000005</v>
      </c>
      <c r="E23" s="201">
        <f t="shared" si="5"/>
        <v>12.888038496410109</v>
      </c>
      <c r="F23" s="204">
        <f>SUM(F4,F14,)</f>
        <v>163134</v>
      </c>
      <c r="G23" s="204">
        <f>SUM(G4,G14,G22)</f>
        <v>21400.075619999996</v>
      </c>
      <c r="H23" s="201">
        <f t="shared" si="3"/>
        <v>13.118096546397437</v>
      </c>
      <c r="I23" s="204">
        <f>I4+I14</f>
        <v>40911</v>
      </c>
      <c r="J23" s="204">
        <f>J4+J14</f>
        <v>4897.3225300000013</v>
      </c>
      <c r="K23" s="201">
        <f>J23/I23*100</f>
        <v>11.970674219647531</v>
      </c>
    </row>
    <row r="24" spans="1:13" ht="32.25" customHeight="1">
      <c r="A24" s="79" t="s">
        <v>196</v>
      </c>
      <c r="B24" s="76">
        <v>20200</v>
      </c>
      <c r="C24" s="205">
        <v>626256.90240000002</v>
      </c>
      <c r="D24" s="205">
        <v>51931.491679999999</v>
      </c>
      <c r="E24" s="204">
        <f t="shared" si="5"/>
        <v>8.2923623645477278</v>
      </c>
      <c r="F24" s="204">
        <f>район!C61</f>
        <v>651163.90240000002</v>
      </c>
      <c r="G24" s="204">
        <v>55792.841679999998</v>
      </c>
      <c r="H24" s="201">
        <f t="shared" si="3"/>
        <v>8.568171772784682</v>
      </c>
      <c r="I24" s="204">
        <f>Справка!BZ31</f>
        <v>82801.103009999992</v>
      </c>
      <c r="J24" s="204">
        <f>Справка!CA31</f>
        <v>7250.3264799999997</v>
      </c>
      <c r="K24" s="201">
        <f t="shared" ref="K24:K38" si="8">J24/I24*100</f>
        <v>8.7563163006709814</v>
      </c>
    </row>
    <row r="25" spans="1:13" ht="33" customHeight="1">
      <c r="A25" s="79" t="s">
        <v>288</v>
      </c>
      <c r="B25" s="76">
        <v>20700</v>
      </c>
      <c r="C25" s="206">
        <f>F25+I25</f>
        <v>462.18360999999999</v>
      </c>
      <c r="D25" s="206">
        <f>G25+J25</f>
        <v>973.94147999999996</v>
      </c>
      <c r="E25" s="204">
        <f t="shared" si="5"/>
        <v>210.72609649658494</v>
      </c>
      <c r="F25" s="204"/>
      <c r="G25" s="204"/>
      <c r="H25" s="201"/>
      <c r="I25" s="204">
        <f>Справка!CR31</f>
        <v>462.18360999999999</v>
      </c>
      <c r="J25" s="204">
        <f>Справка!CS31</f>
        <v>973.94147999999996</v>
      </c>
      <c r="K25" s="201">
        <f t="shared" si="8"/>
        <v>210.72609649658494</v>
      </c>
    </row>
    <row r="26" spans="1:13" ht="33" customHeight="1">
      <c r="A26" s="79" t="s">
        <v>250</v>
      </c>
      <c r="B26" s="77">
        <v>21900</v>
      </c>
      <c r="C26" s="206">
        <f>F26+I26</f>
        <v>0</v>
      </c>
      <c r="D26" s="206">
        <f>G26+J26</f>
        <v>-52617.294300000001</v>
      </c>
      <c r="E26" s="204"/>
      <c r="F26" s="203">
        <f>район!C69</f>
        <v>0</v>
      </c>
      <c r="G26" s="203">
        <f>район!D69</f>
        <v>-52617.294300000001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197</v>
      </c>
      <c r="B27" s="76"/>
      <c r="C27" s="208">
        <f>C24+C23+C26+C25</f>
        <v>830764.08600999997</v>
      </c>
      <c r="D27" s="460">
        <f>D24+D23+D25+D26</f>
        <v>26585.537009999993</v>
      </c>
      <c r="E27" s="208">
        <f t="shared" si="5"/>
        <v>3.2001307540489874</v>
      </c>
      <c r="F27" s="460">
        <f>F24+F23</f>
        <v>814297.90240000002</v>
      </c>
      <c r="G27" s="208">
        <f>G24+G23+G26</f>
        <v>24575.623</v>
      </c>
      <c r="H27" s="208">
        <f t="shared" si="3"/>
        <v>3.0180137917054273</v>
      </c>
      <c r="I27" s="208">
        <f>I24+I23</f>
        <v>123712.10300999999</v>
      </c>
      <c r="J27" s="208">
        <f>J24+J23</f>
        <v>12147.649010000001</v>
      </c>
      <c r="K27" s="207">
        <f t="shared" si="8"/>
        <v>9.8192890707048068</v>
      </c>
      <c r="L27" s="95"/>
      <c r="M27" s="83"/>
    </row>
    <row r="28" spans="1:13" ht="29.25" customHeight="1">
      <c r="A28" s="76" t="s">
        <v>198</v>
      </c>
      <c r="B28" s="76"/>
      <c r="C28" s="208">
        <f>C29+C30+C31+C32+C33+C34+C35+C36+C37+C41+C38+C39+C40</f>
        <v>831581.34455000004</v>
      </c>
      <c r="D28" s="208">
        <f>SUM(D29:D41)</f>
        <v>74214.396699999998</v>
      </c>
      <c r="E28" s="208">
        <f t="shared" si="5"/>
        <v>8.9244903323510947</v>
      </c>
      <c r="F28" s="208">
        <f>SUM(F29+F30+F31+F32+F33+F34+F35+F36+F37+F38+F39+F40+F41)</f>
        <v>814297.9023999999</v>
      </c>
      <c r="G28" s="208">
        <f>SUM(G29:G41)</f>
        <v>74556.187370000014</v>
      </c>
      <c r="H28" s="208">
        <f t="shared" si="3"/>
        <v>9.1558859663347736</v>
      </c>
      <c r="I28" s="208">
        <f>I29+I30+I31+I32+I33+I34+I35+I36+I37+I38+I39+I40+I41</f>
        <v>124529.36155</v>
      </c>
      <c r="J28" s="208">
        <f>J29+J30+J31+J32+J33+J34+J35+J36+J37+J38+J39+J40+J41</f>
        <v>9795.9443299999984</v>
      </c>
      <c r="K28" s="207">
        <f t="shared" si="8"/>
        <v>7.8663732055406168</v>
      </c>
      <c r="L28" s="95"/>
    </row>
    <row r="29" spans="1:13" ht="30.75" customHeight="1">
      <c r="A29" s="81" t="s">
        <v>199</v>
      </c>
      <c r="B29" s="82" t="s">
        <v>27</v>
      </c>
      <c r="C29" s="258">
        <f>F29+I29</f>
        <v>73776.929999999993</v>
      </c>
      <c r="D29" s="258">
        <f>G29+J29</f>
        <v>8505.4921299999987</v>
      </c>
      <c r="E29" s="210">
        <f t="shared" si="5"/>
        <v>11.528660964884279</v>
      </c>
      <c r="F29" s="202">
        <f>район!C76</f>
        <v>49898.756999999998</v>
      </c>
      <c r="G29" s="210">
        <f>район!D76</f>
        <v>5959.5633799999996</v>
      </c>
      <c r="H29" s="211">
        <f t="shared" si="3"/>
        <v>11.943310291276394</v>
      </c>
      <c r="I29" s="211">
        <f>Справка!DJ31</f>
        <v>23878.172999999999</v>
      </c>
      <c r="J29" s="211">
        <f>Справка!DK31</f>
        <v>2545.92875</v>
      </c>
      <c r="K29" s="211">
        <f t="shared" si="8"/>
        <v>10.662158909728982</v>
      </c>
    </row>
    <row r="30" spans="1:13" ht="30.75" customHeight="1">
      <c r="A30" s="81" t="s">
        <v>200</v>
      </c>
      <c r="B30" s="82" t="s">
        <v>43</v>
      </c>
      <c r="C30" s="206">
        <f>I30</f>
        <v>2150.5</v>
      </c>
      <c r="D30" s="206">
        <f>J30</f>
        <v>243.91226999999995</v>
      </c>
      <c r="E30" s="210">
        <f t="shared" si="5"/>
        <v>11.342119042083235</v>
      </c>
      <c r="F30" s="202">
        <f>район!C84</f>
        <v>2150.5</v>
      </c>
      <c r="G30" s="210">
        <f>район!D84</f>
        <v>358.4</v>
      </c>
      <c r="H30" s="211">
        <f t="shared" si="3"/>
        <v>16.66589165310393</v>
      </c>
      <c r="I30" s="211">
        <f>Справка!DY31</f>
        <v>2150.5</v>
      </c>
      <c r="J30" s="211">
        <f>Справка!DZ31</f>
        <v>243.91226999999995</v>
      </c>
      <c r="K30" s="211">
        <f t="shared" si="8"/>
        <v>11.342119042083235</v>
      </c>
    </row>
    <row r="31" spans="1:13" ht="33" customHeight="1">
      <c r="A31" s="81" t="s">
        <v>201</v>
      </c>
      <c r="B31" s="82" t="s">
        <v>47</v>
      </c>
      <c r="C31" s="258">
        <f>F31+I31</f>
        <v>4506.6000000000004</v>
      </c>
      <c r="D31" s="258">
        <f>G31+J31</f>
        <v>370.07962999999995</v>
      </c>
      <c r="E31" s="210">
        <f t="shared" si="5"/>
        <v>8.2119475879820687</v>
      </c>
      <c r="F31" s="202">
        <f>район!C86</f>
        <v>4262.6000000000004</v>
      </c>
      <c r="G31" s="210">
        <f>район!D86</f>
        <v>363.07962999999995</v>
      </c>
      <c r="H31" s="211">
        <f t="shared" si="3"/>
        <v>8.5177973537277705</v>
      </c>
      <c r="I31" s="211">
        <f>Справка!EB31</f>
        <v>244</v>
      </c>
      <c r="J31" s="211">
        <f>Справка!EC31</f>
        <v>7</v>
      </c>
      <c r="K31" s="211">
        <f t="shared" si="8"/>
        <v>2.8688524590163933</v>
      </c>
    </row>
    <row r="32" spans="1:13" ht="30" customHeight="1">
      <c r="A32" s="81" t="s">
        <v>202</v>
      </c>
      <c r="B32" s="82" t="s">
        <v>55</v>
      </c>
      <c r="C32" s="209">
        <v>96562.595149999994</v>
      </c>
      <c r="D32" s="209">
        <v>5181.33439</v>
      </c>
      <c r="E32" s="210">
        <f t="shared" si="5"/>
        <v>5.3657778997668135</v>
      </c>
      <c r="F32" s="202">
        <f>район!C92</f>
        <v>73071.62999999999</v>
      </c>
      <c r="G32" s="210">
        <f>район!D92</f>
        <v>4144.5643099999998</v>
      </c>
      <c r="H32" s="211">
        <f t="shared" si="3"/>
        <v>5.6719198819021832</v>
      </c>
      <c r="I32" s="211">
        <f>Справка!EE31</f>
        <v>50843.365150000005</v>
      </c>
      <c r="J32" s="211">
        <f>Справка!EF31</f>
        <v>2036.83808</v>
      </c>
      <c r="K32" s="211">
        <f t="shared" si="8"/>
        <v>4.0061039901486533</v>
      </c>
    </row>
    <row r="33" spans="1:12" ht="30" customHeight="1">
      <c r="A33" s="81" t="s">
        <v>203</v>
      </c>
      <c r="B33" s="82" t="s">
        <v>65</v>
      </c>
      <c r="C33" s="209">
        <v>29426.946400000001</v>
      </c>
      <c r="D33" s="209">
        <v>905.01719000000003</v>
      </c>
      <c r="E33" s="210">
        <f t="shared" si="5"/>
        <v>3.0754709567826581</v>
      </c>
      <c r="F33" s="202">
        <f>район!C99</f>
        <v>16893.349399999999</v>
      </c>
      <c r="G33" s="210">
        <f>район!D99</f>
        <v>79.174729999999997</v>
      </c>
      <c r="H33" s="211">
        <f t="shared" si="3"/>
        <v>0.46867396231087249</v>
      </c>
      <c r="I33" s="211">
        <f>Справка!EH31</f>
        <v>20576.146400000001</v>
      </c>
      <c r="J33" s="211">
        <f>Справка!EI31</f>
        <v>825.84246000000007</v>
      </c>
      <c r="K33" s="211">
        <f t="shared" si="8"/>
        <v>4.0135914857215438</v>
      </c>
    </row>
    <row r="34" spans="1:12" ht="30" customHeight="1">
      <c r="A34" s="81" t="s">
        <v>204</v>
      </c>
      <c r="B34" s="82" t="s">
        <v>73</v>
      </c>
      <c r="C34" s="206">
        <f>F34</f>
        <v>50</v>
      </c>
      <c r="D34" s="206">
        <f>G34</f>
        <v>0</v>
      </c>
      <c r="E34" s="210">
        <f t="shared" si="5"/>
        <v>0</v>
      </c>
      <c r="F34" s="202">
        <f>район!C103</f>
        <v>50</v>
      </c>
      <c r="G34" s="210">
        <f>район!D103</f>
        <v>0</v>
      </c>
      <c r="H34" s="211">
        <f t="shared" si="3"/>
        <v>0</v>
      </c>
      <c r="I34" s="210"/>
      <c r="J34" s="210"/>
      <c r="K34" s="211">
        <v>0</v>
      </c>
    </row>
    <row r="35" spans="1:12" ht="30" customHeight="1">
      <c r="A35" s="81" t="s">
        <v>205</v>
      </c>
      <c r="B35" s="82" t="s">
        <v>77</v>
      </c>
      <c r="C35" s="206">
        <f>F35</f>
        <v>484381.63</v>
      </c>
      <c r="D35" s="206">
        <f>G35</f>
        <v>51786.467980000001</v>
      </c>
      <c r="E35" s="210">
        <f t="shared" si="5"/>
        <v>10.691253501913357</v>
      </c>
      <c r="F35" s="202">
        <f>район!C105</f>
        <v>484381.63</v>
      </c>
      <c r="G35" s="210">
        <f>район!D105</f>
        <v>51786.467980000001</v>
      </c>
      <c r="H35" s="211">
        <f t="shared" si="3"/>
        <v>10.691253501913357</v>
      </c>
      <c r="I35" s="210"/>
      <c r="J35" s="210"/>
      <c r="K35" s="211">
        <v>0</v>
      </c>
    </row>
    <row r="36" spans="1:12" ht="30" customHeight="1">
      <c r="A36" s="81" t="s">
        <v>206</v>
      </c>
      <c r="B36" s="82" t="s">
        <v>83</v>
      </c>
      <c r="C36" s="209">
        <v>70651.679000000004</v>
      </c>
      <c r="D36" s="209">
        <v>5316.3747800000001</v>
      </c>
      <c r="E36" s="210">
        <f t="shared" si="5"/>
        <v>7.5247677836502653</v>
      </c>
      <c r="F36" s="202">
        <f>район!C111</f>
        <v>68884.525999999998</v>
      </c>
      <c r="G36" s="210">
        <f>район!D111</f>
        <v>5060.4070099999999</v>
      </c>
      <c r="H36" s="211">
        <f t="shared" si="3"/>
        <v>7.3462173638242065</v>
      </c>
      <c r="I36" s="211">
        <f>Справка!EK31</f>
        <v>26674.152999999998</v>
      </c>
      <c r="J36" s="211">
        <f>Справка!EL31</f>
        <v>4117.3177700000006</v>
      </c>
      <c r="K36" s="211">
        <f t="shared" si="8"/>
        <v>15.435608283419535</v>
      </c>
      <c r="L36" s="83"/>
    </row>
    <row r="37" spans="1:12" ht="30" customHeight="1">
      <c r="A37" s="81" t="s">
        <v>207</v>
      </c>
      <c r="B37" s="82" t="s">
        <v>208</v>
      </c>
      <c r="C37" s="209">
        <v>32246.240000000002</v>
      </c>
      <c r="D37" s="209">
        <v>839.43123000000003</v>
      </c>
      <c r="E37" s="210">
        <f t="shared" si="5"/>
        <v>2.6031910387071484</v>
      </c>
      <c r="F37" s="202">
        <f>район!C114</f>
        <v>32246.239999999998</v>
      </c>
      <c r="G37" s="210">
        <f>район!D114</f>
        <v>839.43123000000003</v>
      </c>
      <c r="H37" s="211">
        <f t="shared" si="3"/>
        <v>2.6031910387071489</v>
      </c>
      <c r="I37" s="211">
        <f>Справка!EN31</f>
        <v>0</v>
      </c>
      <c r="J37" s="211">
        <f>Справка!EO31</f>
        <v>0</v>
      </c>
      <c r="K37" s="211"/>
    </row>
    <row r="38" spans="1:12" ht="30" customHeight="1">
      <c r="A38" s="81" t="s">
        <v>209</v>
      </c>
      <c r="B38" s="82" t="s">
        <v>92</v>
      </c>
      <c r="C38" s="209">
        <v>37783.224000000002</v>
      </c>
      <c r="D38" s="209">
        <v>1066.2871</v>
      </c>
      <c r="E38" s="210">
        <f t="shared" si="5"/>
        <v>2.8221178266841389</v>
      </c>
      <c r="F38" s="202">
        <f>район!C119</f>
        <v>37620.199999999997</v>
      </c>
      <c r="G38" s="210">
        <f>район!D119</f>
        <v>1047.1821</v>
      </c>
      <c r="H38" s="211">
        <f t="shared" si="3"/>
        <v>2.78356335160366</v>
      </c>
      <c r="I38" s="211">
        <f>Справка!EQ31</f>
        <v>163.024</v>
      </c>
      <c r="J38" s="211">
        <f>Справка!ER31</f>
        <v>19.105</v>
      </c>
      <c r="K38" s="211">
        <f t="shared" si="8"/>
        <v>11.719133379134361</v>
      </c>
    </row>
    <row r="39" spans="1:12" ht="30" customHeight="1">
      <c r="A39" s="81" t="s">
        <v>210</v>
      </c>
      <c r="B39" s="82" t="s">
        <v>104</v>
      </c>
      <c r="C39" s="202">
        <f>F39</f>
        <v>45</v>
      </c>
      <c r="D39" s="212">
        <f>G39</f>
        <v>0</v>
      </c>
      <c r="E39" s="210">
        <f t="shared" si="5"/>
        <v>0</v>
      </c>
      <c r="F39" s="202">
        <f>район!C125</f>
        <v>45</v>
      </c>
      <c r="G39" s="210">
        <f>район!D125</f>
        <v>0</v>
      </c>
      <c r="H39" s="211">
        <f t="shared" si="3"/>
        <v>0</v>
      </c>
      <c r="I39" s="211"/>
      <c r="J39" s="211"/>
      <c r="K39" s="211">
        <v>0</v>
      </c>
    </row>
    <row r="40" spans="1:12" ht="34.5" customHeight="1">
      <c r="A40" s="81" t="s">
        <v>211</v>
      </c>
      <c r="B40" s="82" t="s">
        <v>108</v>
      </c>
      <c r="C40" s="202">
        <f>F40</f>
        <v>0</v>
      </c>
      <c r="D40" s="212">
        <f>G40</f>
        <v>0</v>
      </c>
      <c r="E40" s="210"/>
      <c r="F40" s="202">
        <f>район!C127</f>
        <v>0</v>
      </c>
      <c r="G40" s="210">
        <f>район!D127</f>
        <v>0</v>
      </c>
      <c r="H40" s="211">
        <v>0</v>
      </c>
      <c r="I40" s="211"/>
      <c r="J40" s="213"/>
      <c r="K40" s="211">
        <v>0</v>
      </c>
    </row>
    <row r="41" spans="1:12" ht="30" customHeight="1">
      <c r="A41" s="81" t="s">
        <v>212</v>
      </c>
      <c r="B41" s="82" t="s">
        <v>213</v>
      </c>
      <c r="C41" s="202">
        <v>0</v>
      </c>
      <c r="D41" s="212"/>
      <c r="E41" s="210">
        <v>0</v>
      </c>
      <c r="F41" s="202">
        <f>район!C129</f>
        <v>44793.47</v>
      </c>
      <c r="G41" s="210">
        <f>район!D129</f>
        <v>4917.9170000000004</v>
      </c>
      <c r="H41" s="211">
        <f t="shared" si="3"/>
        <v>10.979093604491904</v>
      </c>
      <c r="I41" s="211">
        <f>Справка!ET31</f>
        <v>0</v>
      </c>
      <c r="J41" s="213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-817.25854000006802</v>
      </c>
      <c r="D43" s="139">
        <f>D27-D28</f>
        <v>-47628.859690000005</v>
      </c>
      <c r="E43" s="139"/>
      <c r="F43" s="139">
        <f>F27-F28</f>
        <v>0</v>
      </c>
      <c r="G43" s="139">
        <f>G27-G28</f>
        <v>-49980.564370000015</v>
      </c>
      <c r="H43" s="139"/>
      <c r="I43" s="139">
        <f>I27-I28</f>
        <v>-817.25854000000982</v>
      </c>
      <c r="J43" s="139">
        <f>J27-J28</f>
        <v>2351.7046800000026</v>
      </c>
      <c r="K43" s="139"/>
    </row>
    <row r="44" spans="1:12" hidden="1">
      <c r="A44" s="140"/>
      <c r="B44" s="141"/>
      <c r="C44" s="139">
        <f>C43-F44</f>
        <v>-5.8207660913467407E-11</v>
      </c>
      <c r="D44" s="139">
        <f>D43-G44</f>
        <v>0</v>
      </c>
      <c r="E44" s="139"/>
      <c r="F44" s="139">
        <f>F43+I43</f>
        <v>-817.25854000000982</v>
      </c>
      <c r="G44" s="139">
        <f>G43+J43</f>
        <v>-47628.859690000012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626719.08600999997</v>
      </c>
      <c r="G45" s="143">
        <f>D28+G44-D23-D26</f>
        <v>52905.433159999986</v>
      </c>
      <c r="H45" s="137"/>
      <c r="I45" s="137"/>
      <c r="J45" s="137"/>
      <c r="K45" s="139"/>
    </row>
    <row r="46" spans="1:12">
      <c r="A46" s="140"/>
      <c r="B46" s="141"/>
      <c r="C46" s="216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ht="47.25">
      <c r="A49" s="140" t="s">
        <v>434</v>
      </c>
      <c r="B49" s="141"/>
      <c r="C49" s="144"/>
      <c r="D49" s="144" t="s">
        <v>254</v>
      </c>
      <c r="E49" s="143"/>
      <c r="F49" s="143"/>
      <c r="G49" s="143"/>
      <c r="H49" s="137"/>
      <c r="I49" s="137"/>
      <c r="J49" s="137"/>
      <c r="K49" s="137"/>
    </row>
    <row r="50" spans="1:11">
      <c r="A50" s="140"/>
      <c r="B50" s="141"/>
      <c r="C50" s="144"/>
      <c r="D50" s="473"/>
      <c r="E50" s="473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B30CE22D-C12F-4E12-8BB9-3AAE0A6991CC}" scale="80" showPageBreaks="1" printArea="1" hiddenRows="1" view="pageBreakPreview">
      <selection activeCell="B30" sqref="B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6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7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61528DAC-5C4C-48F4-ADE2-8A724B05A086}" scale="80" showPageBreaks="1" printArea="1" hiddenRows="1" view="pageBreakPreview" topLeftCell="A2">
      <selection activeCell="D49" sqref="D49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8" zoomScale="70" zoomScaleNormal="100" zoomScaleSheetLayoutView="70" workbookViewId="0">
      <selection activeCell="D54" sqref="D54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6" t="s">
        <v>418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6.75" customHeight="1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2498.54</v>
      </c>
      <c r="D4" s="5">
        <f>D5+D12+D14+D17+D7</f>
        <v>186.75682</v>
      </c>
      <c r="E4" s="5">
        <f>SUM(D4/C4*100)</f>
        <v>7.474637988585334</v>
      </c>
      <c r="F4" s="5">
        <f>SUM(D4-C4)</f>
        <v>-2311.7831799999999</v>
      </c>
    </row>
    <row r="5" spans="1:6" s="6" customFormat="1">
      <c r="A5" s="68">
        <v>1010000000</v>
      </c>
      <c r="B5" s="67" t="s">
        <v>5</v>
      </c>
      <c r="C5" s="5">
        <f>C6</f>
        <v>187.5</v>
      </c>
      <c r="D5" s="5">
        <f>D6</f>
        <v>31.536549999999998</v>
      </c>
      <c r="E5" s="5">
        <f t="shared" ref="E5:E51" si="0">SUM(D5/C5*100)</f>
        <v>16.819493333333334</v>
      </c>
      <c r="F5" s="5">
        <f t="shared" ref="F5:F51" si="1">SUM(D5-C5)</f>
        <v>-155.96344999999999</v>
      </c>
    </row>
    <row r="6" spans="1:6">
      <c r="A6" s="7">
        <v>1010200001</v>
      </c>
      <c r="B6" s="8" t="s">
        <v>224</v>
      </c>
      <c r="C6" s="9">
        <v>187.5</v>
      </c>
      <c r="D6" s="10">
        <v>31.536549999999998</v>
      </c>
      <c r="E6" s="9">
        <f t="shared" ref="E6:E11" si="2">SUM(D6/C6*100)</f>
        <v>16.819493333333334</v>
      </c>
      <c r="F6" s="9">
        <f t="shared" si="1"/>
        <v>-155.96344999999999</v>
      </c>
    </row>
    <row r="7" spans="1:6" ht="31.5">
      <c r="A7" s="3">
        <v>1030000000</v>
      </c>
      <c r="B7" s="13" t="s">
        <v>266</v>
      </c>
      <c r="C7" s="5">
        <f>C8+C10+C9</f>
        <v>493.04000000000008</v>
      </c>
      <c r="D7" s="5">
        <f>D8+D9+D10+D11</f>
        <v>77.465479999999999</v>
      </c>
      <c r="E7" s="9">
        <f t="shared" si="2"/>
        <v>15.711804316079828</v>
      </c>
      <c r="F7" s="9">
        <f t="shared" si="1"/>
        <v>-415.57452000000006</v>
      </c>
    </row>
    <row r="8" spans="1:6">
      <c r="A8" s="7">
        <v>1030223001</v>
      </c>
      <c r="B8" s="8" t="s">
        <v>268</v>
      </c>
      <c r="C8" s="9">
        <v>183.91</v>
      </c>
      <c r="D8" s="10">
        <v>34.544629999999998</v>
      </c>
      <c r="E8" s="9">
        <f t="shared" si="2"/>
        <v>18.783442988418248</v>
      </c>
      <c r="F8" s="9">
        <f t="shared" si="1"/>
        <v>-149.36536999999998</v>
      </c>
    </row>
    <row r="9" spans="1:6">
      <c r="A9" s="7">
        <v>1030224001</v>
      </c>
      <c r="B9" s="8" t="s">
        <v>274</v>
      </c>
      <c r="C9" s="9">
        <v>1.97</v>
      </c>
      <c r="D9" s="10">
        <v>0.21648000000000001</v>
      </c>
      <c r="E9" s="9">
        <f t="shared" si="2"/>
        <v>10.988832487309645</v>
      </c>
      <c r="F9" s="9">
        <f t="shared" si="1"/>
        <v>-1.75352</v>
      </c>
    </row>
    <row r="10" spans="1:6">
      <c r="A10" s="7">
        <v>1030225001</v>
      </c>
      <c r="B10" s="8" t="s">
        <v>267</v>
      </c>
      <c r="C10" s="9">
        <v>307.16000000000003</v>
      </c>
      <c r="D10" s="10">
        <v>49.448439999999998</v>
      </c>
      <c r="E10" s="9">
        <f t="shared" si="2"/>
        <v>16.098593566870683</v>
      </c>
      <c r="F10" s="9">
        <f t="shared" si="1"/>
        <v>-257.71156000000002</v>
      </c>
    </row>
    <row r="11" spans="1:6">
      <c r="A11" s="7">
        <v>1030265001</v>
      </c>
      <c r="B11" s="8" t="s">
        <v>276</v>
      </c>
      <c r="C11" s="9">
        <v>0</v>
      </c>
      <c r="D11" s="10">
        <v>-6.7440699999999998</v>
      </c>
      <c r="E11" s="9" t="e">
        <f t="shared" si="2"/>
        <v>#DIV/0!</v>
      </c>
      <c r="F11" s="9">
        <f t="shared" si="1"/>
        <v>-6.7440699999999998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1782</v>
      </c>
      <c r="D14" s="5">
        <f>D15+D16</f>
        <v>75.304789999999997</v>
      </c>
      <c r="E14" s="5">
        <f t="shared" si="0"/>
        <v>4.225858024691358</v>
      </c>
      <c r="F14" s="5">
        <f t="shared" si="1"/>
        <v>-1706.6952100000001</v>
      </c>
    </row>
    <row r="15" spans="1:6" s="6" customFormat="1" ht="15.75" customHeight="1">
      <c r="A15" s="7">
        <v>1060100000</v>
      </c>
      <c r="B15" s="11" t="s">
        <v>8</v>
      </c>
      <c r="C15" s="9">
        <v>290</v>
      </c>
      <c r="D15" s="10">
        <v>7.9936499999999997</v>
      </c>
      <c r="E15" s="9">
        <f t="shared" si="0"/>
        <v>2.7564310344827585</v>
      </c>
      <c r="F15" s="9">
        <f>SUM(D15-C15)</f>
        <v>-282.00635</v>
      </c>
    </row>
    <row r="16" spans="1:6" ht="15.75" customHeight="1">
      <c r="A16" s="7">
        <v>1060600000</v>
      </c>
      <c r="B16" s="11" t="s">
        <v>7</v>
      </c>
      <c r="C16" s="9">
        <v>1492</v>
      </c>
      <c r="D16" s="10">
        <v>67.311139999999995</v>
      </c>
      <c r="E16" s="9">
        <f t="shared" si="0"/>
        <v>4.5114705093833782</v>
      </c>
      <c r="F16" s="9">
        <f t="shared" si="1"/>
        <v>-1424.68886</v>
      </c>
    </row>
    <row r="17" spans="1:6" s="6" customFormat="1">
      <c r="A17" s="3">
        <v>1080000000</v>
      </c>
      <c r="B17" s="4" t="s">
        <v>10</v>
      </c>
      <c r="C17" s="5">
        <f>C18</f>
        <v>6</v>
      </c>
      <c r="D17" s="5">
        <f>D18</f>
        <v>2.4500000000000002</v>
      </c>
      <c r="E17" s="5">
        <f t="shared" si="0"/>
        <v>40.833333333333336</v>
      </c>
      <c r="F17" s="5">
        <f t="shared" si="1"/>
        <v>-3.55</v>
      </c>
    </row>
    <row r="18" spans="1:6" ht="18" customHeight="1">
      <c r="A18" s="7">
        <v>1080400001</v>
      </c>
      <c r="B18" s="8" t="s">
        <v>223</v>
      </c>
      <c r="C18" s="9">
        <v>6</v>
      </c>
      <c r="D18" s="9">
        <v>2.4500000000000002</v>
      </c>
      <c r="E18" s="9">
        <f t="shared" si="0"/>
        <v>40.833333333333336</v>
      </c>
      <c r="F18" s="9">
        <f t="shared" si="1"/>
        <v>-3.55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284.39999999999998</v>
      </c>
      <c r="D25" s="5">
        <f>D26+D29+D31+D36+D34</f>
        <v>19.366969999999998</v>
      </c>
      <c r="E25" s="5">
        <f t="shared" si="0"/>
        <v>6.8097644163150495</v>
      </c>
      <c r="F25" s="5">
        <f t="shared" si="1"/>
        <v>-265.03303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284.39999999999998</v>
      </c>
      <c r="D26" s="5">
        <f>D27+D28</f>
        <v>19.23612</v>
      </c>
      <c r="E26" s="5">
        <f t="shared" si="0"/>
        <v>6.7637552742616043</v>
      </c>
      <c r="F26" s="5">
        <f t="shared" si="1"/>
        <v>-265.16387999999995</v>
      </c>
    </row>
    <row r="27" spans="1:6" ht="15.75" customHeight="1">
      <c r="A27" s="16">
        <v>1110502510</v>
      </c>
      <c r="B27" s="17" t="s">
        <v>221</v>
      </c>
      <c r="C27" s="12">
        <v>230.4</v>
      </c>
      <c r="D27" s="12">
        <v>10.23612</v>
      </c>
      <c r="E27" s="9">
        <f t="shared" si="0"/>
        <v>4.4427604166666663</v>
      </c>
      <c r="F27" s="9">
        <f t="shared" si="1"/>
        <v>-220.16388000000001</v>
      </c>
    </row>
    <row r="28" spans="1:6" ht="17.25" customHeight="1">
      <c r="A28" s="7">
        <v>1110503510</v>
      </c>
      <c r="B28" s="11" t="s">
        <v>220</v>
      </c>
      <c r="C28" s="12">
        <v>54</v>
      </c>
      <c r="D28" s="10">
        <v>9</v>
      </c>
      <c r="E28" s="9">
        <f t="shared" si="0"/>
        <v>16.666666666666664</v>
      </c>
      <c r="F28" s="9">
        <f t="shared" si="1"/>
        <v>-45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0</v>
      </c>
      <c r="D29" s="5">
        <f>D30</f>
        <v>0.13084999999999999</v>
      </c>
      <c r="E29" s="5" t="e">
        <f t="shared" si="0"/>
        <v>#DIV/0!</v>
      </c>
      <c r="F29" s="5">
        <f t="shared" si="1"/>
        <v>0.13084999999999999</v>
      </c>
    </row>
    <row r="30" spans="1:6" ht="15.75" customHeight="1">
      <c r="A30" s="7">
        <v>1130206005</v>
      </c>
      <c r="B30" s="8" t="s">
        <v>219</v>
      </c>
      <c r="C30" s="9">
        <v>0</v>
      </c>
      <c r="D30" s="10">
        <v>0.13084999999999999</v>
      </c>
      <c r="E30" s="9" t="e">
        <f t="shared" si="0"/>
        <v>#DIV/0!</v>
      </c>
      <c r="F30" s="9">
        <f t="shared" si="1"/>
        <v>0.13084999999999999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323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324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127">
        <f>SUM(C4,C25)</f>
        <v>2782.94</v>
      </c>
      <c r="D39" s="127">
        <f>SUM(D4,D25)</f>
        <v>206.12379000000001</v>
      </c>
      <c r="E39" s="5">
        <f t="shared" si="0"/>
        <v>7.406691843877339</v>
      </c>
      <c r="F39" s="5">
        <f t="shared" si="1"/>
        <v>-2576.81621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4424.7529999999997</v>
      </c>
      <c r="D40" s="5">
        <f>D41+D43+D45+D46+D48+D49+D42+D47</f>
        <v>368.91759999999999</v>
      </c>
      <c r="E40" s="5">
        <f t="shared" si="0"/>
        <v>8.3375863014274483</v>
      </c>
      <c r="F40" s="5">
        <f t="shared" si="1"/>
        <v>-4055.8353999999999</v>
      </c>
      <c r="G40" s="19"/>
    </row>
    <row r="41" spans="1:7">
      <c r="A41" s="16">
        <v>2021000000</v>
      </c>
      <c r="B41" s="17" t="s">
        <v>18</v>
      </c>
      <c r="C41" s="99">
        <v>1597</v>
      </c>
      <c r="D41" s="20">
        <v>266.16199999999998</v>
      </c>
      <c r="E41" s="9">
        <f t="shared" si="0"/>
        <v>16.666374452097681</v>
      </c>
      <c r="F41" s="9">
        <f t="shared" si="1"/>
        <v>-1330.838</v>
      </c>
    </row>
    <row r="42" spans="1:7" ht="17.25" customHeight="1">
      <c r="A42" s="16">
        <v>2021500200</v>
      </c>
      <c r="B42" s="17" t="s">
        <v>227</v>
      </c>
      <c r="C42" s="12">
        <v>150</v>
      </c>
      <c r="D42" s="20">
        <v>0</v>
      </c>
      <c r="E42" s="9">
        <f>SUM(D42/C42*100)</f>
        <v>0</v>
      </c>
      <c r="F42" s="9">
        <f>SUM(D42-C42)</f>
        <v>-150</v>
      </c>
    </row>
    <row r="43" spans="1:7" ht="19.5" customHeight="1">
      <c r="A43" s="16">
        <v>2022000000</v>
      </c>
      <c r="B43" s="17" t="s">
        <v>19</v>
      </c>
      <c r="C43" s="12">
        <f>831.265+1663.1</f>
        <v>2494.3649999999998</v>
      </c>
      <c r="D43" s="10">
        <v>72.888999999999996</v>
      </c>
      <c r="E43" s="9">
        <f t="shared" si="0"/>
        <v>2.9221465182521404</v>
      </c>
      <c r="F43" s="9">
        <f t="shared" si="1"/>
        <v>-2421.4759999999997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183.38800000000001</v>
      </c>
      <c r="D45" s="187">
        <v>29.866599999999998</v>
      </c>
      <c r="E45" s="9">
        <f t="shared" si="0"/>
        <v>16.286016533251903</v>
      </c>
      <c r="F45" s="9">
        <f t="shared" si="1"/>
        <v>-153.5214</v>
      </c>
    </row>
    <row r="46" spans="1:7" ht="19.5" customHeight="1">
      <c r="A46" s="16">
        <v>2020400000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283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5">
        <f>C39+C40</f>
        <v>7207.6929999999993</v>
      </c>
      <c r="D51" s="465">
        <f>D39+D40</f>
        <v>575.04138999999998</v>
      </c>
      <c r="E51" s="5">
        <f t="shared" si="0"/>
        <v>7.9781615282448914</v>
      </c>
      <c r="F51" s="5">
        <f t="shared" si="1"/>
        <v>-6632.651609999999</v>
      </c>
      <c r="G51" s="200"/>
    </row>
    <row r="52" spans="1:7" s="6" customFormat="1">
      <c r="A52" s="3"/>
      <c r="B52" s="21" t="s">
        <v>306</v>
      </c>
      <c r="C52" s="93">
        <f>C51-C99</f>
        <v>0</v>
      </c>
      <c r="D52" s="93">
        <f>D51-D99</f>
        <v>-43.406299999999987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26</v>
      </c>
      <c r="C54" s="72" t="s">
        <v>402</v>
      </c>
      <c r="D54" s="103" t="s">
        <v>411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1491.9949999999999</v>
      </c>
      <c r="D56" s="33">
        <f>D57+D58+D59+D60+D61+D63+D62</f>
        <v>143.68393</v>
      </c>
      <c r="E56" s="34">
        <f>SUM(D56/C56*100)</f>
        <v>9.6303224876758975</v>
      </c>
      <c r="F56" s="34">
        <f>SUM(D56-C56)</f>
        <v>-1348.31107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1441</v>
      </c>
      <c r="D58" s="37">
        <v>143.68393</v>
      </c>
      <c r="E58" s="38">
        <f t="shared" ref="E58:E99" si="3">SUM(D58/C58*100)</f>
        <v>9.9711263011797371</v>
      </c>
      <c r="F58" s="38">
        <f t="shared" ref="F58:F99" si="4">SUM(D58-C58)</f>
        <v>-1297.3160700000001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>
        <v>42</v>
      </c>
      <c r="D61" s="37">
        <v>0</v>
      </c>
      <c r="E61" s="38">
        <f t="shared" si="3"/>
        <v>0</v>
      </c>
      <c r="F61" s="38">
        <f t="shared" si="4"/>
        <v>-42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41</v>
      </c>
      <c r="B63" s="39" t="s">
        <v>42</v>
      </c>
      <c r="C63" s="37">
        <v>3.9950000000000001</v>
      </c>
      <c r="D63" s="37">
        <v>0</v>
      </c>
      <c r="E63" s="38">
        <f t="shared" si="3"/>
        <v>0</v>
      </c>
      <c r="F63" s="38">
        <f t="shared" si="4"/>
        <v>-3.9950000000000001</v>
      </c>
    </row>
    <row r="64" spans="1:7" s="6" customFormat="1">
      <c r="A64" s="41" t="s">
        <v>43</v>
      </c>
      <c r="B64" s="42" t="s">
        <v>44</v>
      </c>
      <c r="C64" s="32">
        <f>C65</f>
        <v>179.208</v>
      </c>
      <c r="D64" s="32">
        <f>D65</f>
        <v>19.795000000000002</v>
      </c>
      <c r="E64" s="34">
        <f t="shared" si="3"/>
        <v>11.045823847149681</v>
      </c>
      <c r="F64" s="34">
        <f t="shared" si="4"/>
        <v>-159.41300000000001</v>
      </c>
    </row>
    <row r="65" spans="1:7">
      <c r="A65" s="43" t="s">
        <v>45</v>
      </c>
      <c r="B65" s="44" t="s">
        <v>46</v>
      </c>
      <c r="C65" s="37">
        <v>179.208</v>
      </c>
      <c r="D65" s="37">
        <v>19.795000000000002</v>
      </c>
      <c r="E65" s="38">
        <f t="shared" si="3"/>
        <v>11.045823847149681</v>
      </c>
      <c r="F65" s="38">
        <f t="shared" si="4"/>
        <v>-159.41300000000001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10</v>
      </c>
      <c r="D66" s="32">
        <f>SUM(D69+D70+D71)</f>
        <v>1.5</v>
      </c>
      <c r="E66" s="34">
        <f t="shared" si="3"/>
        <v>15</v>
      </c>
      <c r="F66" s="34">
        <f t="shared" si="4"/>
        <v>-8.5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2</v>
      </c>
      <c r="D69" s="37">
        <v>0</v>
      </c>
      <c r="E69" s="38">
        <f t="shared" si="3"/>
        <v>0</v>
      </c>
      <c r="F69" s="38">
        <f t="shared" si="4"/>
        <v>-2</v>
      </c>
    </row>
    <row r="70" spans="1:7" ht="15.75" customHeight="1">
      <c r="A70" s="46" t="s">
        <v>214</v>
      </c>
      <c r="B70" s="47" t="s">
        <v>215</v>
      </c>
      <c r="C70" s="37">
        <v>6</v>
      </c>
      <c r="D70" s="37">
        <v>1.5</v>
      </c>
      <c r="E70" s="38">
        <f>SUM(D70/C70*100)</f>
        <v>25</v>
      </c>
      <c r="F70" s="38">
        <f>SUM(D70-C70)</f>
        <v>-4.5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3332.2249999999999</v>
      </c>
      <c r="D72" s="48">
        <f>SUM(D73:D76)</f>
        <v>110.006</v>
      </c>
      <c r="E72" s="34">
        <f t="shared" si="3"/>
        <v>3.3012776748268804</v>
      </c>
      <c r="F72" s="34">
        <f t="shared" si="4"/>
        <v>-3222.2190000000001</v>
      </c>
    </row>
    <row r="73" spans="1:7" ht="17.25" customHeight="1">
      <c r="A73" s="35" t="s">
        <v>57</v>
      </c>
      <c r="B73" s="39" t="s">
        <v>58</v>
      </c>
      <c r="C73" s="49">
        <v>10.021000000000001</v>
      </c>
      <c r="D73" s="37">
        <v>0</v>
      </c>
      <c r="E73" s="38">
        <f t="shared" si="3"/>
        <v>0</v>
      </c>
      <c r="F73" s="38">
        <f t="shared" si="4"/>
        <v>-10.021000000000001</v>
      </c>
    </row>
    <row r="74" spans="1:7" s="6" customFormat="1" ht="17.25" customHeight="1">
      <c r="A74" s="35" t="s">
        <v>59</v>
      </c>
      <c r="B74" s="39" t="s">
        <v>60</v>
      </c>
      <c r="C74" s="49">
        <v>864.399</v>
      </c>
      <c r="D74" s="37">
        <v>24</v>
      </c>
      <c r="E74" s="38">
        <f t="shared" si="3"/>
        <v>2.7764955766954844</v>
      </c>
      <c r="F74" s="38">
        <f t="shared" si="4"/>
        <v>-840.399</v>
      </c>
      <c r="G74" s="50"/>
    </row>
    <row r="75" spans="1:7">
      <c r="A75" s="35" t="s">
        <v>61</v>
      </c>
      <c r="B75" s="39" t="s">
        <v>62</v>
      </c>
      <c r="C75" s="49">
        <v>2457.8049999999998</v>
      </c>
      <c r="D75" s="37">
        <v>86.006</v>
      </c>
      <c r="E75" s="38">
        <f t="shared" si="3"/>
        <v>3.4993012057506601</v>
      </c>
      <c r="F75" s="38">
        <f t="shared" si="4"/>
        <v>-2371.799</v>
      </c>
    </row>
    <row r="76" spans="1:7">
      <c r="A76" s="35" t="s">
        <v>63</v>
      </c>
      <c r="B76" s="39" t="s">
        <v>64</v>
      </c>
      <c r="C76" s="49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517.96500000000003</v>
      </c>
      <c r="D77" s="32">
        <f>SUM(D78:D81)</f>
        <v>106.46276</v>
      </c>
      <c r="E77" s="34">
        <f t="shared" si="3"/>
        <v>20.554045157491334</v>
      </c>
      <c r="F77" s="34">
        <f t="shared" si="4"/>
        <v>-411.50224000000003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71</v>
      </c>
      <c r="B80" s="39" t="s">
        <v>72</v>
      </c>
      <c r="C80" s="37">
        <v>517.96500000000003</v>
      </c>
      <c r="D80" s="37">
        <v>106.46276</v>
      </c>
      <c r="E80" s="38">
        <f t="shared" si="3"/>
        <v>20.554045157491334</v>
      </c>
      <c r="F80" s="38">
        <f t="shared" si="4"/>
        <v>-411.50224000000003</v>
      </c>
    </row>
    <row r="81" spans="1:6" ht="31.5" hidden="1">
      <c r="A81" s="35" t="s">
        <v>251</v>
      </c>
      <c r="B81" s="39" t="s">
        <v>263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1674.3</v>
      </c>
      <c r="D82" s="32">
        <f>SUM(D83)</f>
        <v>237</v>
      </c>
      <c r="E82" s="34">
        <f t="shared" si="3"/>
        <v>14.155169324493819</v>
      </c>
      <c r="F82" s="34">
        <f t="shared" si="4"/>
        <v>-1437.3</v>
      </c>
    </row>
    <row r="83" spans="1:6" ht="16.5" customHeight="1">
      <c r="A83" s="35" t="s">
        <v>85</v>
      </c>
      <c r="B83" s="39" t="s">
        <v>229</v>
      </c>
      <c r="C83" s="37">
        <v>1674.3</v>
      </c>
      <c r="D83" s="37">
        <v>237</v>
      </c>
      <c r="E83" s="38">
        <f t="shared" si="3"/>
        <v>14.155169324493819</v>
      </c>
      <c r="F83" s="38">
        <f t="shared" si="4"/>
        <v>-1437.3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9.5" customHeight="1">
      <c r="A90" s="35" t="s">
        <v>94</v>
      </c>
      <c r="B90" s="39" t="s">
        <v>95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102">
        <f>C56+C64+C66+C72+C77+C82+C84+C89+C95</f>
        <v>7207.6930000000002</v>
      </c>
      <c r="D99" s="102">
        <f>D56+D64+D66+D72+D77+D82+D84+D89+D95</f>
        <v>618.44768999999997</v>
      </c>
      <c r="E99" s="34">
        <f t="shared" si="3"/>
        <v>8.5803833487358574</v>
      </c>
      <c r="F99" s="34">
        <f t="shared" si="4"/>
        <v>-6589.2453100000002</v>
      </c>
    </row>
    <row r="100" spans="1:6" ht="20.25" customHeight="1">
      <c r="C100" s="235"/>
      <c r="D100" s="236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4" t="s">
        <v>119</v>
      </c>
      <c r="D102" s="134"/>
    </row>
    <row r="103" spans="1:6" ht="5.25" customHeight="1"/>
    <row r="142" hidden="1"/>
  </sheetData>
  <customSheetViews>
    <customSheetView guid="{B30CE22D-C12F-4E12-8BB9-3AAE0A6991CC}" scale="70" showPageBreaks="1" hiddenRows="1" view="pageBreakPreview" topLeftCell="A28">
      <selection activeCell="D54" sqref="D5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2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hiddenRows="1" view="pageBreakPreview" topLeftCell="A3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zoomScale="70" zoomScaleNormal="100" zoomScaleSheetLayoutView="70" workbookViewId="0">
      <selection activeCell="D7" sqref="D7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6" t="s">
        <v>419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1856.54</v>
      </c>
      <c r="D4" s="5">
        <f>D5+D12+D14+D17+D7+D20</f>
        <v>178.53352999999998</v>
      </c>
      <c r="E4" s="5">
        <f>SUM(D4/C4*100)</f>
        <v>9.6164655757484336</v>
      </c>
      <c r="F4" s="5">
        <f>SUM(D4-C4)</f>
        <v>-1678.00647</v>
      </c>
    </row>
    <row r="5" spans="1:6" s="6" customFormat="1">
      <c r="A5" s="68">
        <v>1010000000</v>
      </c>
      <c r="B5" s="67" t="s">
        <v>5</v>
      </c>
      <c r="C5" s="5">
        <f>C6</f>
        <v>137.6</v>
      </c>
      <c r="D5" s="5">
        <f>D6</f>
        <v>12.33333</v>
      </c>
      <c r="E5" s="5">
        <f t="shared" ref="E5:E51" si="0">SUM(D5/C5*100)</f>
        <v>8.9631758720930232</v>
      </c>
      <c r="F5" s="5">
        <f t="shared" ref="F5:F48" si="1">SUM(D5-C5)</f>
        <v>-125.26666999999999</v>
      </c>
    </row>
    <row r="6" spans="1:6">
      <c r="A6" s="7">
        <v>1010200001</v>
      </c>
      <c r="B6" s="8" t="s">
        <v>224</v>
      </c>
      <c r="C6" s="9">
        <v>137.6</v>
      </c>
      <c r="D6" s="10">
        <v>12.33333</v>
      </c>
      <c r="E6" s="9">
        <f t="shared" ref="E6:E11" si="2">SUM(D6/C6*100)</f>
        <v>8.9631758720930232</v>
      </c>
      <c r="F6" s="9">
        <f t="shared" si="1"/>
        <v>-125.26666999999999</v>
      </c>
    </row>
    <row r="7" spans="1:6" ht="31.5">
      <c r="A7" s="3">
        <v>1030000000</v>
      </c>
      <c r="B7" s="13" t="s">
        <v>266</v>
      </c>
      <c r="C7" s="5">
        <f>C8+C10+C9</f>
        <v>609.94000000000005</v>
      </c>
      <c r="D7" s="5">
        <f>D8+D10+D9+D11</f>
        <v>95.833590000000001</v>
      </c>
      <c r="E7" s="9">
        <f t="shared" si="2"/>
        <v>15.711970029838998</v>
      </c>
      <c r="F7" s="9">
        <f t="shared" si="1"/>
        <v>-514.1064100000001</v>
      </c>
    </row>
    <row r="8" spans="1:6">
      <c r="A8" s="7">
        <v>1030223001</v>
      </c>
      <c r="B8" s="8" t="s">
        <v>268</v>
      </c>
      <c r="C8" s="9">
        <v>227.51</v>
      </c>
      <c r="D8" s="10">
        <v>42.735610000000001</v>
      </c>
      <c r="E8" s="9">
        <f t="shared" si="2"/>
        <v>18.784057843611272</v>
      </c>
      <c r="F8" s="9">
        <f t="shared" si="1"/>
        <v>-184.77438999999998</v>
      </c>
    </row>
    <row r="9" spans="1:6">
      <c r="A9" s="7">
        <v>1030224001</v>
      </c>
      <c r="B9" s="8" t="s">
        <v>274</v>
      </c>
      <c r="C9" s="9">
        <v>2.44</v>
      </c>
      <c r="D9" s="10">
        <v>0.26780999999999999</v>
      </c>
      <c r="E9" s="9">
        <f t="shared" si="2"/>
        <v>10.975819672131147</v>
      </c>
      <c r="F9" s="9">
        <f t="shared" si="1"/>
        <v>-2.1721900000000001</v>
      </c>
    </row>
    <row r="10" spans="1:6">
      <c r="A10" s="7">
        <v>1030225001</v>
      </c>
      <c r="B10" s="8" t="s">
        <v>267</v>
      </c>
      <c r="C10" s="9">
        <v>379.99</v>
      </c>
      <c r="D10" s="10">
        <v>61.173319999999997</v>
      </c>
      <c r="E10" s="9">
        <f t="shared" si="2"/>
        <v>16.098665754361953</v>
      </c>
      <c r="F10" s="9">
        <f t="shared" si="1"/>
        <v>-318.81668000000002</v>
      </c>
    </row>
    <row r="11" spans="1:6">
      <c r="A11" s="7">
        <v>1030226001</v>
      </c>
      <c r="B11" s="8" t="s">
        <v>276</v>
      </c>
      <c r="C11" s="9">
        <v>0</v>
      </c>
      <c r="D11" s="10">
        <v>-8.3431499999999996</v>
      </c>
      <c r="E11" s="9" t="e">
        <f t="shared" si="2"/>
        <v>#DIV/0!</v>
      </c>
      <c r="F11" s="9">
        <f t="shared" si="1"/>
        <v>-8.3431499999999996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D13</f>
        <v>1.9523999999999999</v>
      </c>
      <c r="E12" s="5">
        <f t="shared" si="0"/>
        <v>3.9047999999999998</v>
      </c>
      <c r="F12" s="5">
        <f t="shared" si="1"/>
        <v>-48.047600000000003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1.9523999999999999</v>
      </c>
      <c r="E13" s="9">
        <f t="shared" si="0"/>
        <v>3.9047999999999998</v>
      </c>
      <c r="F13" s="9">
        <f t="shared" si="1"/>
        <v>-48.047600000000003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1055</v>
      </c>
      <c r="D14" s="5">
        <f>D15+D16</f>
        <v>67.714209999999994</v>
      </c>
      <c r="E14" s="5">
        <f t="shared" si="0"/>
        <v>6.4184085308056877</v>
      </c>
      <c r="F14" s="5">
        <f t="shared" si="1"/>
        <v>-987.28579000000002</v>
      </c>
    </row>
    <row r="15" spans="1:6" s="6" customFormat="1" ht="15.75" customHeight="1">
      <c r="A15" s="7">
        <v>1060100000</v>
      </c>
      <c r="B15" s="11" t="s">
        <v>8</v>
      </c>
      <c r="C15" s="9">
        <v>150</v>
      </c>
      <c r="D15" s="10">
        <v>7.5353599999999998</v>
      </c>
      <c r="E15" s="9">
        <f t="shared" si="0"/>
        <v>5.0235733333333332</v>
      </c>
      <c r="F15" s="9">
        <f>SUM(D15-C15)</f>
        <v>-142.46464</v>
      </c>
    </row>
    <row r="16" spans="1:6" ht="15.75" customHeight="1">
      <c r="A16" s="7">
        <v>1060600000</v>
      </c>
      <c r="B16" s="11" t="s">
        <v>7</v>
      </c>
      <c r="C16" s="9">
        <v>905</v>
      </c>
      <c r="D16" s="10">
        <v>60.178849999999997</v>
      </c>
      <c r="E16" s="9">
        <f t="shared" si="0"/>
        <v>6.6495966850828729</v>
      </c>
      <c r="F16" s="9">
        <f t="shared" si="1"/>
        <v>-844.82114999999999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0.7</v>
      </c>
      <c r="E17" s="5">
        <f t="shared" si="0"/>
        <v>17.5</v>
      </c>
      <c r="F17" s="5">
        <f t="shared" si="1"/>
        <v>-3.3</v>
      </c>
    </row>
    <row r="18" spans="1:6" ht="18" customHeight="1">
      <c r="A18" s="7">
        <v>1080400001</v>
      </c>
      <c r="B18" s="8" t="s">
        <v>223</v>
      </c>
      <c r="C18" s="9">
        <v>4</v>
      </c>
      <c r="D18" s="10">
        <v>0.7</v>
      </c>
      <c r="E18" s="9">
        <f t="shared" si="0"/>
        <v>17.5</v>
      </c>
      <c r="F18" s="9">
        <f t="shared" si="1"/>
        <v>-3.3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153.39999999999998</v>
      </c>
      <c r="D25" s="5">
        <f>D26+D29+D31+D36+D34</f>
        <v>84.488960000000006</v>
      </c>
      <c r="E25" s="5">
        <f t="shared" si="0"/>
        <v>55.077548891786186</v>
      </c>
      <c r="F25" s="5">
        <f t="shared" si="1"/>
        <v>-68.911039999999971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153.39999999999998</v>
      </c>
      <c r="D26" s="250">
        <f>D27+D28</f>
        <v>84.488960000000006</v>
      </c>
      <c r="E26" s="5">
        <f t="shared" si="0"/>
        <v>55.077548891786186</v>
      </c>
      <c r="F26" s="5">
        <f t="shared" si="1"/>
        <v>-68.911039999999971</v>
      </c>
    </row>
    <row r="27" spans="1:6">
      <c r="A27" s="16">
        <v>1110502510</v>
      </c>
      <c r="B27" s="17" t="s">
        <v>221</v>
      </c>
      <c r="C27" s="12">
        <v>146.69999999999999</v>
      </c>
      <c r="D27" s="10">
        <v>83.36</v>
      </c>
      <c r="E27" s="9">
        <f t="shared" si="0"/>
        <v>56.823449216087255</v>
      </c>
      <c r="F27" s="9">
        <f t="shared" si="1"/>
        <v>-63.339999999999989</v>
      </c>
    </row>
    <row r="28" spans="1:6" ht="18" customHeight="1">
      <c r="A28" s="7">
        <v>1110503510</v>
      </c>
      <c r="B28" s="11" t="s">
        <v>220</v>
      </c>
      <c r="C28" s="12">
        <v>6.7</v>
      </c>
      <c r="D28" s="10">
        <v>1.12896</v>
      </c>
      <c r="E28" s="9">
        <f t="shared" si="0"/>
        <v>16.850149253731342</v>
      </c>
      <c r="F28" s="9">
        <f t="shared" si="1"/>
        <v>-5.57104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2009.94</v>
      </c>
      <c r="D39" s="127">
        <f>SUM(D4,D25)</f>
        <v>263.02249</v>
      </c>
      <c r="E39" s="5">
        <f t="shared" si="0"/>
        <v>13.086086649352715</v>
      </c>
      <c r="F39" s="5">
        <f t="shared" si="1"/>
        <v>-1746.91751</v>
      </c>
    </row>
    <row r="40" spans="1:7" s="6" customFormat="1">
      <c r="A40" s="3">
        <v>2000000000</v>
      </c>
      <c r="B40" s="4" t="s">
        <v>17</v>
      </c>
      <c r="C40" s="93">
        <f>C41+C42+C43+C44+C48+C49</f>
        <v>7066.4259999999995</v>
      </c>
      <c r="D40" s="93">
        <f>D41+D42+D43+D44+D48+D49+D50</f>
        <v>615.00459999999998</v>
      </c>
      <c r="E40" s="5">
        <f t="shared" si="0"/>
        <v>8.7031916841696209</v>
      </c>
      <c r="F40" s="5">
        <f t="shared" si="1"/>
        <v>-6451.4213999999993</v>
      </c>
      <c r="G40" s="19"/>
    </row>
    <row r="41" spans="1:7">
      <c r="A41" s="16">
        <v>2021000000</v>
      </c>
      <c r="B41" s="17" t="s">
        <v>18</v>
      </c>
      <c r="C41" s="12">
        <v>3036.7</v>
      </c>
      <c r="D41" s="20">
        <v>506.108</v>
      </c>
      <c r="E41" s="9">
        <f t="shared" si="0"/>
        <v>16.666381269140846</v>
      </c>
      <c r="F41" s="9">
        <f t="shared" si="1"/>
        <v>-2530.5919999999996</v>
      </c>
    </row>
    <row r="42" spans="1:7" ht="17.2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f>1072.838+2774.7</f>
        <v>3847.5379999999996</v>
      </c>
      <c r="D43" s="10">
        <v>79.03</v>
      </c>
      <c r="E43" s="9">
        <f t="shared" si="0"/>
        <v>2.0540407917998471</v>
      </c>
      <c r="F43" s="9">
        <f t="shared" si="1"/>
        <v>-3768.5079999999994</v>
      </c>
    </row>
    <row r="44" spans="1:7" ht="18" customHeight="1">
      <c r="A44" s="16">
        <v>2023000000</v>
      </c>
      <c r="B44" s="17" t="s">
        <v>20</v>
      </c>
      <c r="C44" s="12">
        <v>182.18799999999999</v>
      </c>
      <c r="D44" s="187">
        <v>29.866599999999998</v>
      </c>
      <c r="E44" s="9">
        <f t="shared" si="0"/>
        <v>16.393286056161767</v>
      </c>
      <c r="F44" s="9">
        <f t="shared" si="1"/>
        <v>-152.32139999999998</v>
      </c>
    </row>
    <row r="45" spans="1:7" ht="0.75" hidden="1" customHeight="1">
      <c r="A45" s="16">
        <v>2020400000</v>
      </c>
      <c r="B45" s="17" t="s">
        <v>21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21</v>
      </c>
      <c r="C48" s="12"/>
      <c r="D48" s="10"/>
      <c r="E48" s="9" t="e">
        <f t="shared" si="0"/>
        <v>#DIV/0!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334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93">
        <f>C39+C40</f>
        <v>9076.366</v>
      </c>
      <c r="D51" s="93">
        <f>SUM(D39,D40,)</f>
        <v>878.02709000000004</v>
      </c>
      <c r="E51" s="5">
        <f t="shared" si="0"/>
        <v>9.6737735124387889</v>
      </c>
      <c r="F51" s="5">
        <f>SUM(D51-C51)</f>
        <v>-8198.3389100000004</v>
      </c>
      <c r="G51" s="200"/>
    </row>
    <row r="52" spans="1:7" s="6" customFormat="1">
      <c r="A52" s="3"/>
      <c r="B52" s="21" t="s">
        <v>306</v>
      </c>
      <c r="C52" s="93">
        <f>C51-C98</f>
        <v>-105.00000000000182</v>
      </c>
      <c r="D52" s="93">
        <f>D51-D98</f>
        <v>192.10130000000004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26</v>
      </c>
      <c r="C54" s="179" t="s">
        <v>402</v>
      </c>
      <c r="D54" s="180" t="s">
        <v>411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1447.6510000000001</v>
      </c>
      <c r="D56" s="182">
        <f>D57+D58+D59+D60+D61+D63+D62</f>
        <v>139.58251000000001</v>
      </c>
      <c r="E56" s="34">
        <f>SUM(D56/C56*100)</f>
        <v>9.6420000400649055</v>
      </c>
      <c r="F56" s="34">
        <f>SUM(D56-C56)</f>
        <v>-1308.0684900000001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1396.2</v>
      </c>
      <c r="D58" s="37">
        <v>139.58251000000001</v>
      </c>
      <c r="E58" s="38">
        <f t="shared" ref="E58:E98" si="3">SUM(D58/C58*100)</f>
        <v>9.9973148546053583</v>
      </c>
      <c r="F58" s="38">
        <f t="shared" ref="F58:F98" si="4">SUM(D58-C58)</f>
        <v>-1256.6174900000001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>
        <v>42</v>
      </c>
      <c r="D61" s="37">
        <v>0</v>
      </c>
      <c r="E61" s="38">
        <f t="shared" si="3"/>
        <v>0</v>
      </c>
      <c r="F61" s="38">
        <f t="shared" si="4"/>
        <v>-42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41</v>
      </c>
      <c r="B63" s="39" t="s">
        <v>42</v>
      </c>
      <c r="C63" s="37">
        <v>4.4509999999999996</v>
      </c>
      <c r="D63" s="37">
        <v>0</v>
      </c>
      <c r="E63" s="38">
        <f t="shared" si="3"/>
        <v>0</v>
      </c>
      <c r="F63" s="38">
        <f t="shared" si="4"/>
        <v>-4.4509999999999996</v>
      </c>
    </row>
    <row r="64" spans="1:7" s="6" customFormat="1">
      <c r="A64" s="41" t="s">
        <v>43</v>
      </c>
      <c r="B64" s="42" t="s">
        <v>44</v>
      </c>
      <c r="C64" s="32">
        <f>C65</f>
        <v>179.208</v>
      </c>
      <c r="D64" s="32">
        <f>D65</f>
        <v>20.593260000000001</v>
      </c>
      <c r="E64" s="34">
        <f>SUM(D64/C64*100)</f>
        <v>11.491261550823625</v>
      </c>
      <c r="F64" s="34">
        <f t="shared" si="4"/>
        <v>-158.61473999999998</v>
      </c>
    </row>
    <row r="65" spans="1:7">
      <c r="A65" s="43" t="s">
        <v>45</v>
      </c>
      <c r="B65" s="44" t="s">
        <v>46</v>
      </c>
      <c r="C65" s="37">
        <v>179.208</v>
      </c>
      <c r="D65" s="37">
        <v>20.593260000000001</v>
      </c>
      <c r="E65" s="259">
        <f>SUM(D65/C65*100)</f>
        <v>11.491261550823625</v>
      </c>
      <c r="F65" s="38">
        <f t="shared" si="4"/>
        <v>-158.61473999999998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6</v>
      </c>
      <c r="D66" s="32">
        <f>D69+D70+D71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214</v>
      </c>
      <c r="B70" s="47" t="s">
        <v>215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4579.9070000000002</v>
      </c>
      <c r="D72" s="48">
        <f>SUM(D73:D76)</f>
        <v>146.30199999999999</v>
      </c>
      <c r="E72" s="34">
        <f t="shared" si="3"/>
        <v>3.1944316773244519</v>
      </c>
      <c r="F72" s="34">
        <f t="shared" si="4"/>
        <v>-4433.6050000000005</v>
      </c>
    </row>
    <row r="73" spans="1:7" ht="15" customHeight="1">
      <c r="A73" s="35" t="s">
        <v>57</v>
      </c>
      <c r="B73" s="39" t="s">
        <v>58</v>
      </c>
      <c r="C73" s="49">
        <v>7.1580000000000004</v>
      </c>
      <c r="D73" s="37">
        <v>0</v>
      </c>
      <c r="E73" s="38">
        <f t="shared" si="3"/>
        <v>0</v>
      </c>
      <c r="F73" s="38">
        <f t="shared" si="4"/>
        <v>-7.1580000000000004</v>
      </c>
    </row>
    <row r="74" spans="1:7" s="6" customFormat="1" ht="15" customHeight="1">
      <c r="A74" s="35" t="s">
        <v>59</v>
      </c>
      <c r="B74" s="39" t="s">
        <v>60</v>
      </c>
      <c r="C74" s="49">
        <v>50</v>
      </c>
      <c r="D74" s="37">
        <v>47.1</v>
      </c>
      <c r="E74" s="38">
        <f t="shared" si="3"/>
        <v>94.2</v>
      </c>
      <c r="F74" s="38">
        <f t="shared" si="4"/>
        <v>-2.8999999999999986</v>
      </c>
      <c r="G74" s="50"/>
    </row>
    <row r="75" spans="1:7">
      <c r="A75" s="35" t="s">
        <v>61</v>
      </c>
      <c r="B75" s="39" t="s">
        <v>62</v>
      </c>
      <c r="C75" s="49">
        <v>4383.1779999999999</v>
      </c>
      <c r="D75" s="37">
        <v>92.201999999999998</v>
      </c>
      <c r="E75" s="38">
        <f t="shared" si="3"/>
        <v>2.1035422243860507</v>
      </c>
      <c r="F75" s="38">
        <f t="shared" si="4"/>
        <v>-4290.9759999999997</v>
      </c>
    </row>
    <row r="76" spans="1:7">
      <c r="A76" s="35" t="s">
        <v>63</v>
      </c>
      <c r="B76" s="39" t="s">
        <v>64</v>
      </c>
      <c r="C76" s="49">
        <v>139.571</v>
      </c>
      <c r="D76" s="37">
        <v>7</v>
      </c>
      <c r="E76" s="38">
        <f t="shared" si="3"/>
        <v>5.0153685221141924</v>
      </c>
      <c r="F76" s="38">
        <f t="shared" si="4"/>
        <v>-132.571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832.3</v>
      </c>
      <c r="D77" s="32">
        <f>SUM(D78:D80)</f>
        <v>14.16</v>
      </c>
      <c r="E77" s="34">
        <f t="shared" si="3"/>
        <v>1.7013096239336778</v>
      </c>
      <c r="F77" s="34">
        <f t="shared" si="4"/>
        <v>-818.14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69</v>
      </c>
      <c r="B79" s="51" t="s">
        <v>70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71</v>
      </c>
      <c r="B80" s="39" t="s">
        <v>72</v>
      </c>
      <c r="C80" s="37">
        <v>832.3</v>
      </c>
      <c r="D80" s="37">
        <v>14.16</v>
      </c>
      <c r="E80" s="38">
        <f t="shared" si="3"/>
        <v>1.7013096239336778</v>
      </c>
      <c r="F80" s="38">
        <f t="shared" si="4"/>
        <v>-818.14</v>
      </c>
    </row>
    <row r="81" spans="1:6" s="6" customFormat="1">
      <c r="A81" s="30" t="s">
        <v>83</v>
      </c>
      <c r="B81" s="31" t="s">
        <v>84</v>
      </c>
      <c r="C81" s="32">
        <f>C82</f>
        <v>2134.3000000000002</v>
      </c>
      <c r="D81" s="32">
        <f>D82</f>
        <v>365.28802000000002</v>
      </c>
      <c r="E81" s="34">
        <f>SUM(D81/C81*100)</f>
        <v>17.115120648456166</v>
      </c>
      <c r="F81" s="34">
        <f t="shared" si="4"/>
        <v>-1769.0119800000002</v>
      </c>
    </row>
    <row r="82" spans="1:6" ht="15.75" customHeight="1">
      <c r="A82" s="35" t="s">
        <v>85</v>
      </c>
      <c r="B82" s="39" t="s">
        <v>229</v>
      </c>
      <c r="C82" s="37">
        <v>2134.3000000000002</v>
      </c>
      <c r="D82" s="37">
        <v>365.28802000000002</v>
      </c>
      <c r="E82" s="38">
        <f>SUM(D82/C82*100)</f>
        <v>17.115120648456166</v>
      </c>
      <c r="F82" s="38">
        <f t="shared" si="4"/>
        <v>-1769.0119800000002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8.75" customHeight="1">
      <c r="A89" s="35" t="s">
        <v>94</v>
      </c>
      <c r="B89" s="39" t="s">
        <v>95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466">
        <f>C56+C64+C66+C72+C77+C81+C83+C88+C94</f>
        <v>9181.3660000000018</v>
      </c>
      <c r="D98" s="466">
        <f>D56+D64+D66+D72+D77+D81+D83+D88+D94</f>
        <v>685.92579000000001</v>
      </c>
      <c r="E98" s="34">
        <f t="shared" si="3"/>
        <v>7.4708468217038719</v>
      </c>
      <c r="F98" s="34">
        <f t="shared" si="4"/>
        <v>-8495.4402100000025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117</v>
      </c>
      <c r="B100" s="63"/>
      <c r="C100" s="185"/>
      <c r="D100" s="185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20"/>
    </row>
    <row r="103" spans="1:7" ht="5.25" customHeight="1"/>
    <row r="143" hidden="1"/>
  </sheetData>
  <customSheetViews>
    <customSheetView guid="{B30CE22D-C12F-4E12-8BB9-3AAE0A6991CC}" scale="70" showPageBreaks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2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8"/>
    </customSheetView>
    <customSheetView guid="{61528DAC-5C4C-48F4-ADE2-8A724B05A086}" scale="70" showPageBreaks="1" hiddenRows="1" view="pageBreakPreview" topLeftCell="A28">
      <selection activeCell="C89" sqref="C89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28" zoomScale="70" zoomScaleNormal="100" zoomScaleSheetLayoutView="70" workbookViewId="0">
      <selection activeCell="D71" sqref="D71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420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1639.9</v>
      </c>
      <c r="D4" s="5">
        <f>D5+D12+D14+D17+D20+D7</f>
        <v>166.07861</v>
      </c>
      <c r="E4" s="5">
        <f>SUM(D4/C4*100)</f>
        <v>10.127362034270382</v>
      </c>
      <c r="F4" s="5">
        <f>SUM(D4-C4)</f>
        <v>-1473.8213900000001</v>
      </c>
    </row>
    <row r="5" spans="1:6" s="6" customFormat="1">
      <c r="A5" s="68">
        <v>1010000000</v>
      </c>
      <c r="B5" s="67" t="s">
        <v>5</v>
      </c>
      <c r="C5" s="5">
        <f>C6</f>
        <v>117.6</v>
      </c>
      <c r="D5" s="5">
        <f>D6</f>
        <v>15.22302</v>
      </c>
      <c r="E5" s="5">
        <f t="shared" ref="E5:E51" si="0">SUM(D5/C5*100)</f>
        <v>12.944744897959184</v>
      </c>
      <c r="F5" s="5">
        <f t="shared" ref="F5:F51" si="1">SUM(D5-C5)</f>
        <v>-102.37697999999999</v>
      </c>
    </row>
    <row r="6" spans="1:6">
      <c r="A6" s="7">
        <v>1010200001</v>
      </c>
      <c r="B6" s="8" t="s">
        <v>224</v>
      </c>
      <c r="C6" s="9">
        <v>117.6</v>
      </c>
      <c r="D6" s="10">
        <v>15.22302</v>
      </c>
      <c r="E6" s="9">
        <f t="shared" ref="E6:E11" si="2">SUM(D6/C6*100)</f>
        <v>12.944744897959184</v>
      </c>
      <c r="F6" s="9">
        <f t="shared" si="1"/>
        <v>-102.37697999999999</v>
      </c>
    </row>
    <row r="7" spans="1:6" ht="31.5">
      <c r="A7" s="3">
        <v>1030000000</v>
      </c>
      <c r="B7" s="13" t="s">
        <v>266</v>
      </c>
      <c r="C7" s="5">
        <f>C8+C10+C9</f>
        <v>846.30000000000007</v>
      </c>
      <c r="D7" s="5">
        <f>D8+D10+D9+D11</f>
        <v>132.9691</v>
      </c>
      <c r="E7" s="5">
        <f t="shared" si="2"/>
        <v>15.711816140848397</v>
      </c>
      <c r="F7" s="5">
        <f t="shared" si="1"/>
        <v>-713.33090000000004</v>
      </c>
    </row>
    <row r="8" spans="1:6">
      <c r="A8" s="7">
        <v>1030223001</v>
      </c>
      <c r="B8" s="8" t="s">
        <v>268</v>
      </c>
      <c r="C8" s="9">
        <v>315.67</v>
      </c>
      <c r="D8" s="10">
        <v>59.29571</v>
      </c>
      <c r="E8" s="9">
        <f t="shared" si="2"/>
        <v>18.784081477492318</v>
      </c>
      <c r="F8" s="9">
        <f t="shared" si="1"/>
        <v>-256.37429000000003</v>
      </c>
    </row>
    <row r="9" spans="1:6">
      <c r="A9" s="7">
        <v>1030224001</v>
      </c>
      <c r="B9" s="8" t="s">
        <v>274</v>
      </c>
      <c r="C9" s="9">
        <v>3.39</v>
      </c>
      <c r="D9" s="10">
        <v>0.37158000000000002</v>
      </c>
      <c r="E9" s="9">
        <f>SUM(D9/C9*100)</f>
        <v>10.961061946902655</v>
      </c>
      <c r="F9" s="9">
        <f t="shared" si="1"/>
        <v>-3.0184199999999999</v>
      </c>
    </row>
    <row r="10" spans="1:6">
      <c r="A10" s="7">
        <v>1030225001</v>
      </c>
      <c r="B10" s="8" t="s">
        <v>267</v>
      </c>
      <c r="C10" s="9">
        <v>527.24</v>
      </c>
      <c r="D10" s="10">
        <v>84.877989999999997</v>
      </c>
      <c r="E10" s="9">
        <f t="shared" si="2"/>
        <v>16.098549047871934</v>
      </c>
      <c r="F10" s="9">
        <f t="shared" si="1"/>
        <v>-442.36201</v>
      </c>
    </row>
    <row r="11" spans="1:6">
      <c r="A11" s="7">
        <v>1030226001</v>
      </c>
      <c r="B11" s="8" t="s">
        <v>276</v>
      </c>
      <c r="C11" s="9">
        <v>0</v>
      </c>
      <c r="D11" s="10">
        <v>-11.576180000000001</v>
      </c>
      <c r="E11" s="9" t="e">
        <f t="shared" si="2"/>
        <v>#DIV/0!</v>
      </c>
      <c r="F11" s="9">
        <f t="shared" si="1"/>
        <v>-11.576180000000001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638</v>
      </c>
      <c r="D14" s="5">
        <f>D15+D16</f>
        <v>17.286490000000001</v>
      </c>
      <c r="E14" s="5">
        <f t="shared" si="0"/>
        <v>2.7094811912225705</v>
      </c>
      <c r="F14" s="5">
        <f t="shared" si="1"/>
        <v>-620.71351000000004</v>
      </c>
    </row>
    <row r="15" spans="1:6" s="6" customFormat="1" ht="15.75" customHeight="1">
      <c r="A15" s="7">
        <v>1060100000</v>
      </c>
      <c r="B15" s="11" t="s">
        <v>8</v>
      </c>
      <c r="C15" s="9">
        <v>250</v>
      </c>
      <c r="D15" s="10">
        <v>0.87050000000000005</v>
      </c>
      <c r="E15" s="9">
        <f t="shared" si="0"/>
        <v>0.34820000000000001</v>
      </c>
      <c r="F15" s="9">
        <f>SUM(D15-C15)</f>
        <v>-249.12950000000001</v>
      </c>
    </row>
    <row r="16" spans="1:6" ht="15.75" customHeight="1">
      <c r="A16" s="7">
        <v>1060600000</v>
      </c>
      <c r="B16" s="11" t="s">
        <v>7</v>
      </c>
      <c r="C16" s="9">
        <v>388</v>
      </c>
      <c r="D16" s="10">
        <v>16.415990000000001</v>
      </c>
      <c r="E16" s="9">
        <f t="shared" si="0"/>
        <v>4.2309252577319585</v>
      </c>
      <c r="F16" s="9">
        <f t="shared" si="1"/>
        <v>-371.58400999999998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0.6</v>
      </c>
      <c r="E17" s="5">
        <f t="shared" si="0"/>
        <v>7.5</v>
      </c>
      <c r="F17" s="5">
        <f t="shared" si="1"/>
        <v>-7.4</v>
      </c>
    </row>
    <row r="18" spans="1:6" ht="17.25" customHeight="1">
      <c r="A18" s="7">
        <v>1080400001</v>
      </c>
      <c r="B18" s="8" t="s">
        <v>223</v>
      </c>
      <c r="C18" s="9">
        <v>8</v>
      </c>
      <c r="D18" s="10">
        <v>0.6</v>
      </c>
      <c r="E18" s="9">
        <f t="shared" si="0"/>
        <v>7.5</v>
      </c>
      <c r="F18" s="9">
        <f t="shared" si="1"/>
        <v>-7.4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669.1</v>
      </c>
      <c r="D25" s="5">
        <f>D26+D29+D32+D37+D35</f>
        <v>119.31386999999999</v>
      </c>
      <c r="E25" s="5">
        <f t="shared" si="0"/>
        <v>17.831993722911371</v>
      </c>
      <c r="F25" s="5">
        <f t="shared" si="1"/>
        <v>-549.78613000000007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669.1</v>
      </c>
      <c r="D26" s="5">
        <f>D27+D28</f>
        <v>119.0067</v>
      </c>
      <c r="E26" s="5">
        <f t="shared" si="0"/>
        <v>17.786085786877894</v>
      </c>
      <c r="F26" s="5">
        <f t="shared" si="1"/>
        <v>-550.0933</v>
      </c>
    </row>
    <row r="27" spans="1:6">
      <c r="A27" s="16">
        <v>1110502510</v>
      </c>
      <c r="B27" s="17" t="s">
        <v>221</v>
      </c>
      <c r="C27" s="12">
        <v>592.1</v>
      </c>
      <c r="D27" s="10">
        <v>117.92</v>
      </c>
      <c r="E27" s="9">
        <f t="shared" si="0"/>
        <v>19.915554804931599</v>
      </c>
      <c r="F27" s="9">
        <f t="shared" si="1"/>
        <v>-474.18</v>
      </c>
    </row>
    <row r="28" spans="1:6" ht="18" customHeight="1">
      <c r="A28" s="7">
        <v>1110503505</v>
      </c>
      <c r="B28" s="11" t="s">
        <v>220</v>
      </c>
      <c r="C28" s="12">
        <v>77</v>
      </c>
      <c r="D28" s="10">
        <v>1.0867</v>
      </c>
      <c r="E28" s="9">
        <f t="shared" si="0"/>
        <v>1.4112987012987013</v>
      </c>
      <c r="F28" s="9">
        <f t="shared" si="1"/>
        <v>-75.913300000000007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0</v>
      </c>
      <c r="D29" s="5">
        <f>D30+D31</f>
        <v>0.30717</v>
      </c>
      <c r="E29" s="5" t="e">
        <f t="shared" si="0"/>
        <v>#DIV/0!</v>
      </c>
      <c r="F29" s="5">
        <f t="shared" si="1"/>
        <v>0.30717</v>
      </c>
    </row>
    <row r="30" spans="1:6" ht="15.75" customHeight="1">
      <c r="A30" s="7">
        <v>1130206510</v>
      </c>
      <c r="B30" s="8" t="s">
        <v>321</v>
      </c>
      <c r="C30" s="9">
        <v>0</v>
      </c>
      <c r="D30" s="214">
        <v>0.30717</v>
      </c>
      <c r="E30" s="9" t="e">
        <f t="shared" si="0"/>
        <v>#DIV/0!</v>
      </c>
      <c r="F30" s="9">
        <f t="shared" si="1"/>
        <v>0.30717</v>
      </c>
    </row>
    <row r="31" spans="1:6" ht="17.25" customHeight="1">
      <c r="A31" s="7">
        <v>1130299510</v>
      </c>
      <c r="B31" s="8" t="s">
        <v>336</v>
      </c>
      <c r="C31" s="9">
        <v>0</v>
      </c>
      <c r="D31" s="214">
        <v>0</v>
      </c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hidden="1" customHeight="1">
      <c r="A35" s="3">
        <v>1160000000</v>
      </c>
      <c r="B35" s="13" t="s">
        <v>240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hidden="1" customHeight="1">
      <c r="A36" s="7">
        <v>1163305010</v>
      </c>
      <c r="B36" s="8" t="s">
        <v>255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7">
        <f>SUM(C4,C25)</f>
        <v>2309</v>
      </c>
      <c r="D40" s="127">
        <f>D4+D25</f>
        <v>285.39247999999998</v>
      </c>
      <c r="E40" s="5">
        <f t="shared" si="0"/>
        <v>12.360003464703334</v>
      </c>
      <c r="F40" s="5">
        <f t="shared" si="1"/>
        <v>-2023.60752</v>
      </c>
    </row>
    <row r="41" spans="1:7" s="6" customFormat="1">
      <c r="A41" s="3">
        <v>2000000000</v>
      </c>
      <c r="B41" s="4" t="s">
        <v>17</v>
      </c>
      <c r="C41" s="5">
        <f>C42+C43+C44+C45+C46+C48</f>
        <v>4620.1990000000005</v>
      </c>
      <c r="D41" s="5">
        <f>D42+D43+D44+D45+D46+D48+D49</f>
        <v>209.78059999999999</v>
      </c>
      <c r="E41" s="5">
        <f t="shared" si="0"/>
        <v>4.5405100516233174</v>
      </c>
      <c r="F41" s="5">
        <f t="shared" si="1"/>
        <v>-4410.4184000000005</v>
      </c>
      <c r="G41" s="19"/>
    </row>
    <row r="42" spans="1:7">
      <c r="A42" s="16">
        <v>2021000000</v>
      </c>
      <c r="B42" s="17" t="s">
        <v>18</v>
      </c>
      <c r="C42" s="99">
        <v>1079.5</v>
      </c>
      <c r="D42" s="99">
        <v>179.91399999999999</v>
      </c>
      <c r="E42" s="9">
        <f t="shared" si="0"/>
        <v>16.666419638721631</v>
      </c>
      <c r="F42" s="9">
        <f t="shared" si="1"/>
        <v>-899.58600000000001</v>
      </c>
    </row>
    <row r="43" spans="1:7" ht="15.75" customHeight="1">
      <c r="A43" s="16">
        <v>2021500200</v>
      </c>
      <c r="B43" s="17" t="s">
        <v>227</v>
      </c>
      <c r="C43" s="99">
        <v>100</v>
      </c>
      <c r="D43" s="20">
        <v>0</v>
      </c>
      <c r="E43" s="9">
        <f>SUM(D43/C43*100)</f>
        <v>0</v>
      </c>
      <c r="F43" s="9">
        <f>SUM(D43-C43)</f>
        <v>-100</v>
      </c>
    </row>
    <row r="44" spans="1:7">
      <c r="A44" s="16">
        <v>2022000000</v>
      </c>
      <c r="B44" s="17" t="s">
        <v>19</v>
      </c>
      <c r="C44" s="99">
        <f>1350.411+1908.1</f>
        <v>3258.511</v>
      </c>
      <c r="D44" s="10"/>
      <c r="E44" s="9">
        <f t="shared" si="0"/>
        <v>0</v>
      </c>
      <c r="F44" s="9">
        <f t="shared" si="1"/>
        <v>-3258.511</v>
      </c>
    </row>
    <row r="45" spans="1:7" ht="16.5" customHeight="1">
      <c r="A45" s="16">
        <v>2023000000</v>
      </c>
      <c r="B45" s="17" t="s">
        <v>20</v>
      </c>
      <c r="C45" s="12">
        <v>182.18799999999999</v>
      </c>
      <c r="D45" s="187">
        <v>29.866599999999998</v>
      </c>
      <c r="E45" s="9">
        <f t="shared" si="0"/>
        <v>16.393286056161767</v>
      </c>
      <c r="F45" s="9">
        <f t="shared" si="1"/>
        <v>-152.32139999999998</v>
      </c>
    </row>
    <row r="46" spans="1:7" ht="22.5" customHeight="1">
      <c r="A46" s="16">
        <v>2020400000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30.75" customHeight="1">
      <c r="A47" s="16">
        <v>2020900000</v>
      </c>
      <c r="B47" s="18" t="s">
        <v>22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2070500010</v>
      </c>
      <c r="B48" s="8" t="s">
        <v>334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19.5" customHeight="1">
      <c r="A49" s="7">
        <v>2190500005</v>
      </c>
      <c r="B49" s="11" t="s">
        <v>23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5">
        <f>C40+C41</f>
        <v>6929.1990000000005</v>
      </c>
      <c r="D51" s="5">
        <f>D40+D41</f>
        <v>495.17307999999997</v>
      </c>
      <c r="E51" s="93">
        <f t="shared" si="0"/>
        <v>7.1461806768718859</v>
      </c>
      <c r="F51" s="93">
        <f t="shared" si="1"/>
        <v>-6434.025920000001</v>
      </c>
      <c r="G51" s="200"/>
      <c r="H51" s="200"/>
    </row>
    <row r="52" spans="1:8" s="6" customFormat="1">
      <c r="A52" s="3"/>
      <c r="B52" s="21" t="s">
        <v>306</v>
      </c>
      <c r="C52" s="93">
        <f>C51-C98</f>
        <v>-146</v>
      </c>
      <c r="D52" s="93">
        <f>D51-D98</f>
        <v>163.69167999999996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26</v>
      </c>
      <c r="C54" s="179" t="s">
        <v>402</v>
      </c>
      <c r="D54" s="180" t="s">
        <v>411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1182.0170000000001</v>
      </c>
      <c r="D56" s="33">
        <f>D57+D58+D59+D60+D61+D63+D62</f>
        <v>118.76015</v>
      </c>
      <c r="E56" s="34">
        <f>SUM(D56/C56*100)</f>
        <v>10.047245513389401</v>
      </c>
      <c r="F56" s="34">
        <f>SUM(D56-C56)</f>
        <v>-1063.25685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1145.7</v>
      </c>
      <c r="D58" s="37">
        <v>118.76015</v>
      </c>
      <c r="E58" s="38">
        <f t="shared" ref="E58:E98" si="3">SUM(D58/C58*100)</f>
        <v>10.365728375665531</v>
      </c>
      <c r="F58" s="38">
        <f t="shared" ref="F58:F98" si="4">SUM(D58-C58)</f>
        <v>-1026.93985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37</v>
      </c>
      <c r="B61" s="39" t="s">
        <v>38</v>
      </c>
      <c r="C61" s="37">
        <v>28</v>
      </c>
      <c r="D61" s="37">
        <v>0</v>
      </c>
      <c r="E61" s="38">
        <f t="shared" si="3"/>
        <v>0</v>
      </c>
      <c r="F61" s="38">
        <f t="shared" si="4"/>
        <v>-28</v>
      </c>
    </row>
    <row r="62" spans="1:8" ht="18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41</v>
      </c>
      <c r="B63" s="39" t="s">
        <v>42</v>
      </c>
      <c r="C63" s="37">
        <v>3.3170000000000002</v>
      </c>
      <c r="D63" s="37">
        <v>0</v>
      </c>
      <c r="E63" s="38">
        <f t="shared" si="3"/>
        <v>0</v>
      </c>
      <c r="F63" s="38">
        <f t="shared" si="4"/>
        <v>-3.3170000000000002</v>
      </c>
    </row>
    <row r="64" spans="1:8" s="6" customFormat="1">
      <c r="A64" s="41" t="s">
        <v>43</v>
      </c>
      <c r="B64" s="42" t="s">
        <v>44</v>
      </c>
      <c r="C64" s="32">
        <f>C65</f>
        <v>179.208</v>
      </c>
      <c r="D64" s="32">
        <f>D65</f>
        <v>20.593250000000001</v>
      </c>
      <c r="E64" s="34">
        <f t="shared" si="3"/>
        <v>11.491255970715594</v>
      </c>
      <c r="F64" s="34">
        <f t="shared" si="4"/>
        <v>-158.61474999999999</v>
      </c>
    </row>
    <row r="65" spans="1:7">
      <c r="A65" s="43" t="s">
        <v>45</v>
      </c>
      <c r="B65" s="44" t="s">
        <v>46</v>
      </c>
      <c r="C65" s="37">
        <v>179.208</v>
      </c>
      <c r="D65" s="37">
        <v>20.593250000000001</v>
      </c>
      <c r="E65" s="38">
        <f t="shared" si="3"/>
        <v>11.491255970715594</v>
      </c>
      <c r="F65" s="38">
        <f t="shared" si="4"/>
        <v>-158.61474999999999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6</v>
      </c>
      <c r="D66" s="254">
        <f>D69+D70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214</v>
      </c>
      <c r="B70" s="47" t="s">
        <v>215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4289.9690000000001</v>
      </c>
      <c r="D72" s="48">
        <f>SUM(D73:D77)</f>
        <v>2</v>
      </c>
      <c r="E72" s="34">
        <f t="shared" si="3"/>
        <v>4.6620383503936741E-2</v>
      </c>
      <c r="F72" s="34">
        <f t="shared" si="4"/>
        <v>-4287.9690000000001</v>
      </c>
    </row>
    <row r="73" spans="1:7" ht="15" customHeight="1">
      <c r="A73" s="35" t="s">
        <v>57</v>
      </c>
      <c r="B73" s="39" t="s">
        <v>58</v>
      </c>
      <c r="C73" s="49">
        <v>7.1580000000000004</v>
      </c>
      <c r="D73" s="37">
        <v>0</v>
      </c>
      <c r="E73" s="38">
        <f t="shared" si="3"/>
        <v>0</v>
      </c>
      <c r="F73" s="38">
        <f t="shared" si="4"/>
        <v>-7.1580000000000004</v>
      </c>
    </row>
    <row r="74" spans="1:7" s="6" customFormat="1" ht="17.25" customHeight="1">
      <c r="A74" s="35" t="s">
        <v>59</v>
      </c>
      <c r="B74" s="39" t="s">
        <v>60</v>
      </c>
      <c r="C74" s="49">
        <v>2</v>
      </c>
      <c r="D74" s="37">
        <v>2</v>
      </c>
      <c r="E74" s="38">
        <f t="shared" si="3"/>
        <v>100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4250.8109999999997</v>
      </c>
      <c r="D76" s="37">
        <v>0</v>
      </c>
      <c r="E76" s="38">
        <f t="shared" si="3"/>
        <v>0</v>
      </c>
      <c r="F76" s="38">
        <f t="shared" si="4"/>
        <v>-4250.8109999999997</v>
      </c>
    </row>
    <row r="77" spans="1:7">
      <c r="A77" s="35" t="s">
        <v>63</v>
      </c>
      <c r="B77" s="39" t="s">
        <v>64</v>
      </c>
      <c r="C77" s="49">
        <v>30</v>
      </c>
      <c r="D77" s="37">
        <v>0</v>
      </c>
      <c r="E77" s="38">
        <f t="shared" si="3"/>
        <v>0</v>
      </c>
      <c r="F77" s="38">
        <f t="shared" si="4"/>
        <v>-30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265.90499999999997</v>
      </c>
      <c r="D78" s="32">
        <f>SUM(D79:D81)</f>
        <v>0</v>
      </c>
      <c r="E78" s="34">
        <f t="shared" si="3"/>
        <v>0</v>
      </c>
      <c r="F78" s="34">
        <f t="shared" si="4"/>
        <v>-265.90499999999997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69</v>
      </c>
      <c r="B80" s="51" t="s">
        <v>70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265.90499999999997</v>
      </c>
      <c r="D81" s="37">
        <v>0</v>
      </c>
      <c r="E81" s="38">
        <f t="shared" si="3"/>
        <v>0</v>
      </c>
      <c r="F81" s="38">
        <f t="shared" si="4"/>
        <v>-265.90499999999997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1150.0999999999999</v>
      </c>
      <c r="D82" s="32">
        <f>D83</f>
        <v>190.12799999999999</v>
      </c>
      <c r="E82" s="34">
        <f t="shared" si="3"/>
        <v>16.531432049387011</v>
      </c>
      <c r="F82" s="34">
        <f t="shared" si="4"/>
        <v>-959.97199999999998</v>
      </c>
    </row>
    <row r="83" spans="1:6" ht="14.25" customHeight="1">
      <c r="A83" s="35" t="s">
        <v>85</v>
      </c>
      <c r="B83" s="39" t="s">
        <v>229</v>
      </c>
      <c r="C83" s="37">
        <v>1150.0999999999999</v>
      </c>
      <c r="D83" s="37">
        <v>190.12799999999999</v>
      </c>
      <c r="E83" s="38">
        <f t="shared" si="3"/>
        <v>16.531432049387011</v>
      </c>
      <c r="F83" s="38">
        <f t="shared" si="4"/>
        <v>-959.97199999999998</v>
      </c>
    </row>
    <row r="84" spans="1:6" s="6" customFormat="1" ht="22.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</v>
      </c>
      <c r="D96" s="32">
        <f>D97</f>
        <v>0</v>
      </c>
      <c r="E96" s="34">
        <f t="shared" si="3"/>
        <v>0</v>
      </c>
      <c r="F96" s="34">
        <f t="shared" si="4"/>
        <v>-2</v>
      </c>
    </row>
    <row r="97" spans="1:8" ht="18" customHeight="1">
      <c r="A97" s="35" t="s">
        <v>94</v>
      </c>
      <c r="B97" s="39" t="s">
        <v>95</v>
      </c>
      <c r="C97" s="49">
        <v>2</v>
      </c>
      <c r="D97" s="37">
        <v>0</v>
      </c>
      <c r="E97" s="38">
        <f t="shared" si="3"/>
        <v>0</v>
      </c>
      <c r="F97" s="38">
        <f t="shared" si="4"/>
        <v>-2</v>
      </c>
    </row>
    <row r="98" spans="1:8" s="6" customFormat="1">
      <c r="A98" s="52"/>
      <c r="B98" s="57" t="s">
        <v>116</v>
      </c>
      <c r="C98" s="102">
        <f>C56+C64+C66+C72+C78+C82+C96+C84</f>
        <v>7075.1990000000005</v>
      </c>
      <c r="D98" s="102">
        <f>D56+D64+D66+D72+D78+D82+D96+D84</f>
        <v>331.48140000000001</v>
      </c>
      <c r="E98" s="34">
        <f t="shared" si="3"/>
        <v>4.6851176906826222</v>
      </c>
      <c r="F98" s="34">
        <f t="shared" si="4"/>
        <v>-6743.7176000000009</v>
      </c>
      <c r="G98" s="200"/>
      <c r="H98" s="200"/>
    </row>
    <row r="99" spans="1:8" ht="16.5" customHeight="1">
      <c r="C99" s="126"/>
      <c r="D99" s="101"/>
    </row>
    <row r="100" spans="1:8" s="65" customFormat="1" ht="20.25" customHeight="1">
      <c r="A100" s="63" t="s">
        <v>117</v>
      </c>
      <c r="B100" s="63"/>
      <c r="C100" s="116"/>
      <c r="D100" s="64" t="s">
        <v>260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B30CE22D-C12F-4E12-8BB9-3AAE0A6991CC}" scale="70" showPageBreaks="1" printArea="1" hiddenRows="1" view="pageBreakPreview" topLeftCell="A28">
      <selection activeCell="D71" sqref="D7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2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8"/>
    </customSheetView>
    <customSheetView guid="{61528DAC-5C4C-48F4-ADE2-8A724B05A086}" scale="70" showPageBreaks="1" printArea="1" hiddenRows="1" view="pageBreakPreview" topLeftCell="A25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16" zoomScale="70" zoomScaleNormal="100" zoomScaleSheetLayoutView="70" workbookViewId="0">
      <selection activeCell="C96" sqref="C9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423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1040.5999999999999</v>
      </c>
      <c r="D4" s="5">
        <f>D5+D12+D14+D17+D7</f>
        <v>86.481839999999991</v>
      </c>
      <c r="E4" s="5">
        <f>SUM(D4/C4*100)</f>
        <v>8.3107668652700362</v>
      </c>
      <c r="F4" s="5">
        <f>SUM(D4-C4)</f>
        <v>-954.11815999999988</v>
      </c>
    </row>
    <row r="5" spans="1:6" s="6" customFormat="1">
      <c r="A5" s="68">
        <v>1010000000</v>
      </c>
      <c r="B5" s="67" t="s">
        <v>5</v>
      </c>
      <c r="C5" s="5">
        <f>C6</f>
        <v>74.3</v>
      </c>
      <c r="D5" s="5">
        <f>D6</f>
        <v>0.99500999999999995</v>
      </c>
      <c r="E5" s="5">
        <f t="shared" ref="E5:E49" si="0">SUM(D5/C5*100)</f>
        <v>1.339179004037685</v>
      </c>
      <c r="F5" s="5">
        <f t="shared" ref="F5:F49" si="1">SUM(D5-C5)</f>
        <v>-73.304990000000004</v>
      </c>
    </row>
    <row r="6" spans="1:6">
      <c r="A6" s="7">
        <v>1010200001</v>
      </c>
      <c r="B6" s="8" t="s">
        <v>224</v>
      </c>
      <c r="C6" s="9">
        <v>74.3</v>
      </c>
      <c r="D6" s="10">
        <v>0.99500999999999995</v>
      </c>
      <c r="E6" s="9">
        <f t="shared" ref="E6:E11" si="2">SUM(D6/C6*100)</f>
        <v>1.339179004037685</v>
      </c>
      <c r="F6" s="9">
        <f t="shared" si="1"/>
        <v>-73.304990000000004</v>
      </c>
    </row>
    <row r="7" spans="1:6" ht="31.5">
      <c r="A7" s="3">
        <v>1030000000</v>
      </c>
      <c r="B7" s="13" t="s">
        <v>266</v>
      </c>
      <c r="C7" s="5">
        <f>C8+C10+C9</f>
        <v>386.3</v>
      </c>
      <c r="D7" s="5">
        <f>D8+D10+D9+D11</f>
        <v>60.694619999999993</v>
      </c>
      <c r="E7" s="5">
        <f t="shared" si="2"/>
        <v>15.711783587885062</v>
      </c>
      <c r="F7" s="5">
        <f t="shared" si="1"/>
        <v>-325.60538000000003</v>
      </c>
    </row>
    <row r="8" spans="1:6">
      <c r="A8" s="7">
        <v>1030223001</v>
      </c>
      <c r="B8" s="8" t="s">
        <v>268</v>
      </c>
      <c r="C8" s="9">
        <v>144.09</v>
      </c>
      <c r="D8" s="10">
        <v>27.06589</v>
      </c>
      <c r="E8" s="9">
        <f t="shared" si="2"/>
        <v>18.78401693386078</v>
      </c>
      <c r="F8" s="9">
        <f t="shared" si="1"/>
        <v>-117.02411000000001</v>
      </c>
    </row>
    <row r="9" spans="1:6">
      <c r="A9" s="7">
        <v>1030224001</v>
      </c>
      <c r="B9" s="8" t="s">
        <v>274</v>
      </c>
      <c r="C9" s="9">
        <v>1.55</v>
      </c>
      <c r="D9" s="10">
        <v>0.16963</v>
      </c>
      <c r="E9" s="9">
        <f t="shared" si="2"/>
        <v>10.943870967741935</v>
      </c>
      <c r="F9" s="9">
        <f t="shared" si="1"/>
        <v>-1.3803700000000001</v>
      </c>
    </row>
    <row r="10" spans="1:6">
      <c r="A10" s="7">
        <v>1030225001</v>
      </c>
      <c r="B10" s="8" t="s">
        <v>267</v>
      </c>
      <c r="C10" s="9">
        <v>240.66</v>
      </c>
      <c r="D10" s="10">
        <v>38.743099999999998</v>
      </c>
      <c r="E10" s="9">
        <f t="shared" si="2"/>
        <v>16.098686944236682</v>
      </c>
      <c r="F10" s="9">
        <f t="shared" si="1"/>
        <v>-201.9169</v>
      </c>
    </row>
    <row r="11" spans="1:6">
      <c r="A11" s="7">
        <v>1030226001</v>
      </c>
      <c r="B11" s="8" t="s">
        <v>276</v>
      </c>
      <c r="C11" s="9">
        <v>0</v>
      </c>
      <c r="D11" s="10">
        <v>-5.2839999999999998</v>
      </c>
      <c r="E11" s="9" t="e">
        <f t="shared" si="2"/>
        <v>#DIV/0!</v>
      </c>
      <c r="F11" s="9">
        <f t="shared" si="1"/>
        <v>-5.2839999999999998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1.1193</v>
      </c>
      <c r="E12" s="5">
        <f t="shared" si="0"/>
        <v>22.385999999999999</v>
      </c>
      <c r="F12" s="5">
        <f t="shared" si="1"/>
        <v>-3.8807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1.1193</v>
      </c>
      <c r="E13" s="9">
        <f t="shared" si="0"/>
        <v>22.385999999999999</v>
      </c>
      <c r="F13" s="9">
        <f t="shared" si="1"/>
        <v>-3.8807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570</v>
      </c>
      <c r="D14" s="5">
        <f>D15+D16</f>
        <v>22.32291</v>
      </c>
      <c r="E14" s="5">
        <f t="shared" si="0"/>
        <v>3.9163000000000006</v>
      </c>
      <c r="F14" s="5">
        <f t="shared" si="1"/>
        <v>-547.67709000000002</v>
      </c>
    </row>
    <row r="15" spans="1:6" s="6" customFormat="1" ht="15.75" customHeight="1">
      <c r="A15" s="7">
        <v>1060100000</v>
      </c>
      <c r="B15" s="11" t="s">
        <v>8</v>
      </c>
      <c r="C15" s="9">
        <v>190</v>
      </c>
      <c r="D15" s="10">
        <v>2.2535699999999999</v>
      </c>
      <c r="E15" s="9">
        <f t="shared" si="0"/>
        <v>1.1860894736842105</v>
      </c>
      <c r="F15" s="9">
        <f>SUM(D15-C15)</f>
        <v>-187.74643</v>
      </c>
    </row>
    <row r="16" spans="1:6" ht="15.75" customHeight="1">
      <c r="A16" s="7">
        <v>1060600000</v>
      </c>
      <c r="B16" s="11" t="s">
        <v>7</v>
      </c>
      <c r="C16" s="9">
        <v>380</v>
      </c>
      <c r="D16" s="10">
        <v>20.06934</v>
      </c>
      <c r="E16" s="9">
        <f t="shared" si="0"/>
        <v>5.2814052631578949</v>
      </c>
      <c r="F16" s="9">
        <f t="shared" si="1"/>
        <v>-359.93065999999999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1.35</v>
      </c>
      <c r="E17" s="5">
        <f t="shared" si="0"/>
        <v>27</v>
      </c>
      <c r="F17" s="5">
        <f t="shared" si="1"/>
        <v>-3.65</v>
      </c>
    </row>
    <row r="18" spans="1:6" ht="18" customHeight="1">
      <c r="A18" s="7">
        <v>1080400001</v>
      </c>
      <c r="B18" s="8" t="s">
        <v>223</v>
      </c>
      <c r="C18" s="9">
        <v>5</v>
      </c>
      <c r="D18" s="10">
        <v>1.35</v>
      </c>
      <c r="E18" s="9">
        <f t="shared" si="0"/>
        <v>27</v>
      </c>
      <c r="F18" s="9">
        <f t="shared" si="1"/>
        <v>-3.65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77</v>
      </c>
      <c r="D25" s="5">
        <f>D27+D29+D34</f>
        <v>0</v>
      </c>
      <c r="E25" s="5">
        <f t="shared" si="0"/>
        <v>0</v>
      </c>
      <c r="F25" s="5">
        <f t="shared" si="1"/>
        <v>-77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77</v>
      </c>
      <c r="D26" s="5">
        <f>D27</f>
        <v>0</v>
      </c>
      <c r="E26" s="5">
        <f t="shared" si="0"/>
        <v>0</v>
      </c>
      <c r="F26" s="5">
        <f t="shared" si="1"/>
        <v>-77</v>
      </c>
    </row>
    <row r="27" spans="1:6" ht="17.25" customHeight="1">
      <c r="A27" s="16">
        <v>1110502510</v>
      </c>
      <c r="B27" s="17" t="s">
        <v>221</v>
      </c>
      <c r="C27" s="12">
        <v>77</v>
      </c>
      <c r="D27" s="10">
        <v>0</v>
      </c>
      <c r="E27" s="9">
        <f t="shared" si="0"/>
        <v>0</v>
      </c>
      <c r="F27" s="9">
        <f t="shared" si="1"/>
        <v>-77</v>
      </c>
    </row>
    <row r="28" spans="1:6" ht="0.75" hidden="1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7">
        <f>SUM(C4,C25)</f>
        <v>1117.5999999999999</v>
      </c>
      <c r="D37" s="127">
        <f>D4+D25</f>
        <v>86.481839999999991</v>
      </c>
      <c r="E37" s="5">
        <f t="shared" si="0"/>
        <v>7.7381746599856829</v>
      </c>
      <c r="F37" s="5">
        <f t="shared" si="1"/>
        <v>-1031.11816</v>
      </c>
    </row>
    <row r="38" spans="1:7" s="6" customFormat="1">
      <c r="A38" s="3">
        <v>2000000000</v>
      </c>
      <c r="B38" s="4" t="s">
        <v>17</v>
      </c>
      <c r="C38" s="5">
        <f>C39+C41+C42+C43+C44+C45</f>
        <v>3939.0550000000003</v>
      </c>
      <c r="D38" s="5">
        <f>D39+D41+D42+D43+D45+D44</f>
        <v>324.1456</v>
      </c>
      <c r="E38" s="5">
        <f t="shared" si="0"/>
        <v>8.2290193967842544</v>
      </c>
      <c r="F38" s="5">
        <f t="shared" si="1"/>
        <v>-3614.9094000000005</v>
      </c>
      <c r="G38" s="19"/>
    </row>
    <row r="39" spans="1:7" ht="14.25" customHeight="1">
      <c r="A39" s="16">
        <v>2021000000</v>
      </c>
      <c r="B39" s="17" t="s">
        <v>18</v>
      </c>
      <c r="C39" s="99">
        <v>1358.5</v>
      </c>
      <c r="D39" s="99">
        <v>226.41200000000001</v>
      </c>
      <c r="E39" s="9">
        <f t="shared" si="0"/>
        <v>16.666323150533678</v>
      </c>
      <c r="F39" s="9">
        <f t="shared" si="1"/>
        <v>-1132.088</v>
      </c>
    </row>
    <row r="40" spans="1:7" ht="15.75" hidden="1" customHeight="1">
      <c r="A40" s="16">
        <v>2020100310</v>
      </c>
      <c r="B40" s="17" t="s">
        <v>227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227</v>
      </c>
      <c r="C41" s="99">
        <v>466</v>
      </c>
      <c r="D41" s="20">
        <v>0</v>
      </c>
      <c r="E41" s="9">
        <f t="shared" si="0"/>
        <v>0</v>
      </c>
      <c r="F41" s="9">
        <f t="shared" si="1"/>
        <v>-466</v>
      </c>
    </row>
    <row r="42" spans="1:7">
      <c r="A42" s="16">
        <v>2022000000</v>
      </c>
      <c r="B42" s="17" t="s">
        <v>19</v>
      </c>
      <c r="C42" s="99">
        <f>499.47+1522.5</f>
        <v>2021.97</v>
      </c>
      <c r="D42" s="10">
        <v>82.8</v>
      </c>
      <c r="E42" s="9">
        <f t="shared" si="0"/>
        <v>4.0950162465318476</v>
      </c>
      <c r="F42" s="9">
        <f t="shared" si="1"/>
        <v>-1939.17</v>
      </c>
    </row>
    <row r="43" spans="1:7" ht="17.25" customHeight="1">
      <c r="A43" s="16">
        <v>2023000000</v>
      </c>
      <c r="B43" s="17" t="s">
        <v>20</v>
      </c>
      <c r="C43" s="12">
        <v>92.584999999999994</v>
      </c>
      <c r="D43" s="187">
        <v>14.9336</v>
      </c>
      <c r="E43" s="9">
        <f t="shared" si="0"/>
        <v>16.129610628071504</v>
      </c>
      <c r="F43" s="9">
        <f t="shared" si="1"/>
        <v>-77.651399999999995</v>
      </c>
    </row>
    <row r="44" spans="1:7" ht="13.5" customHeight="1">
      <c r="A44" s="16">
        <v>2020400000</v>
      </c>
      <c r="B44" s="17" t="s">
        <v>21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customHeight="1">
      <c r="A45" s="16">
        <v>2070500010</v>
      </c>
      <c r="B45" s="8" t="s">
        <v>334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311</v>
      </c>
      <c r="C48" s="191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194">
        <f>C37+C38</f>
        <v>5056.6550000000007</v>
      </c>
      <c r="D49" s="194">
        <f>D37+D38</f>
        <v>410.62743999999998</v>
      </c>
      <c r="E49" s="5">
        <f t="shared" si="0"/>
        <v>8.1205350177142783</v>
      </c>
      <c r="F49" s="5">
        <f t="shared" si="1"/>
        <v>-4646.0275600000004</v>
      </c>
      <c r="G49" s="200"/>
      <c r="H49" s="249"/>
    </row>
    <row r="50" spans="1:8" s="6" customFormat="1" ht="15.75" customHeight="1">
      <c r="A50" s="3"/>
      <c r="B50" s="21" t="s">
        <v>306</v>
      </c>
      <c r="C50" s="194">
        <f>C49-C96</f>
        <v>-166</v>
      </c>
      <c r="D50" s="194">
        <f>D49-D96</f>
        <v>40.491549999999961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184" t="s">
        <v>402</v>
      </c>
      <c r="D52" s="73" t="s">
        <v>411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1046.4929999999999</v>
      </c>
      <c r="D54" s="33">
        <f>D56+D61</f>
        <v>104.74578</v>
      </c>
      <c r="E54" s="34">
        <f>SUM(D54/C54*100)</f>
        <v>10.00921936410468</v>
      </c>
      <c r="F54" s="34">
        <f>SUM(D54-C54)</f>
        <v>-941.74721999999997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1019.8</v>
      </c>
      <c r="D56" s="37">
        <v>104.74578</v>
      </c>
      <c r="E56" s="38">
        <f>SUM(D56/C56*100)</f>
        <v>10.27120808001569</v>
      </c>
      <c r="F56" s="38">
        <f t="shared" ref="F56:F96" si="3">SUM(D56-C56)</f>
        <v>-915.05421999999999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hidden="1" customHeight="1">
      <c r="A59" s="35" t="s">
        <v>37</v>
      </c>
      <c r="B59" s="39" t="s">
        <v>38</v>
      </c>
      <c r="C59" s="37">
        <v>19</v>
      </c>
      <c r="D59" s="37">
        <v>0</v>
      </c>
      <c r="E59" s="38">
        <f t="shared" si="4"/>
        <v>0</v>
      </c>
      <c r="F59" s="38">
        <f t="shared" si="3"/>
        <v>-19</v>
      </c>
    </row>
    <row r="60" spans="1:8" ht="15.7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41</v>
      </c>
      <c r="B61" s="39" t="s">
        <v>42</v>
      </c>
      <c r="C61" s="37">
        <v>2.6930000000000001</v>
      </c>
      <c r="D61" s="37">
        <v>0</v>
      </c>
      <c r="E61" s="38">
        <f t="shared" si="4"/>
        <v>0</v>
      </c>
      <c r="F61" s="38">
        <f t="shared" si="3"/>
        <v>-2.6930000000000001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89.605000000000004</v>
      </c>
      <c r="D62" s="32">
        <f>D63</f>
        <v>9.8966399999999997</v>
      </c>
      <c r="E62" s="34">
        <f t="shared" si="4"/>
        <v>11.044740806874616</v>
      </c>
      <c r="F62" s="34">
        <f t="shared" si="3"/>
        <v>-79.708359999999999</v>
      </c>
    </row>
    <row r="63" spans="1:8" ht="17.850000000000001" customHeight="1">
      <c r="A63" s="43" t="s">
        <v>45</v>
      </c>
      <c r="B63" s="44" t="s">
        <v>46</v>
      </c>
      <c r="C63" s="37">
        <v>89.605000000000004</v>
      </c>
      <c r="D63" s="37">
        <v>9.8966399999999997</v>
      </c>
      <c r="E63" s="38">
        <f t="shared" si="4"/>
        <v>11.044740806874616</v>
      </c>
      <c r="F63" s="38">
        <f t="shared" si="3"/>
        <v>-79.708359999999999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6</v>
      </c>
      <c r="D64" s="32">
        <f>SUM(D67+D68+D69)</f>
        <v>0</v>
      </c>
      <c r="E64" s="34">
        <f t="shared" si="4"/>
        <v>0</v>
      </c>
      <c r="F64" s="34">
        <f t="shared" si="3"/>
        <v>-6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214</v>
      </c>
      <c r="B68" s="47" t="s">
        <v>215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339</v>
      </c>
      <c r="B69" s="47" t="s">
        <v>342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2662.6280000000002</v>
      </c>
      <c r="D70" s="48">
        <f>D71+D72+D73+D74</f>
        <v>96.501000000000005</v>
      </c>
      <c r="E70" s="34">
        <f t="shared" si="4"/>
        <v>3.6242764667088303</v>
      </c>
      <c r="F70" s="34">
        <f t="shared" si="3"/>
        <v>-2566.127</v>
      </c>
    </row>
    <row r="71" spans="1:7" ht="16.5" customHeight="1">
      <c r="A71" s="35" t="s">
        <v>57</v>
      </c>
      <c r="B71" s="39" t="s">
        <v>58</v>
      </c>
      <c r="C71" s="49">
        <v>7.1580000000000004</v>
      </c>
      <c r="D71" s="37">
        <v>0</v>
      </c>
      <c r="E71" s="38">
        <f t="shared" si="4"/>
        <v>0</v>
      </c>
      <c r="F71" s="38">
        <f t="shared" si="3"/>
        <v>-7.1580000000000004</v>
      </c>
    </row>
    <row r="72" spans="1:7" s="6" customFormat="1" ht="19.5" customHeight="1">
      <c r="A72" s="35" t="s">
        <v>59</v>
      </c>
      <c r="B72" s="39" t="s">
        <v>60</v>
      </c>
      <c r="C72" s="49">
        <v>1006.5</v>
      </c>
      <c r="D72" s="37">
        <v>0</v>
      </c>
      <c r="E72" s="38">
        <f t="shared" si="4"/>
        <v>0</v>
      </c>
      <c r="F72" s="38">
        <f t="shared" si="3"/>
        <v>-1006.5</v>
      </c>
      <c r="G72" s="50"/>
    </row>
    <row r="73" spans="1:7" ht="17.25" customHeight="1">
      <c r="A73" s="35" t="s">
        <v>61</v>
      </c>
      <c r="B73" s="39" t="s">
        <v>62</v>
      </c>
      <c r="C73" s="49">
        <v>1648.97</v>
      </c>
      <c r="D73" s="37">
        <v>96.501000000000005</v>
      </c>
      <c r="E73" s="38">
        <f t="shared" si="4"/>
        <v>5.8521986452148917</v>
      </c>
      <c r="F73" s="38">
        <f t="shared" si="3"/>
        <v>-1552.4690000000001</v>
      </c>
    </row>
    <row r="74" spans="1:7" ht="15.75" customHeight="1">
      <c r="A74" s="35" t="s">
        <v>63</v>
      </c>
      <c r="B74" s="39" t="s">
        <v>64</v>
      </c>
      <c r="C74" s="49">
        <v>0</v>
      </c>
      <c r="D74" s="37">
        <v>0</v>
      </c>
      <c r="E74" s="38" t="e">
        <f t="shared" si="4"/>
        <v>#DIV/0!</v>
      </c>
      <c r="F74" s="38">
        <f t="shared" si="3"/>
        <v>0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468.12900000000002</v>
      </c>
      <c r="D75" s="32">
        <f>D78</f>
        <v>0</v>
      </c>
      <c r="E75" s="34">
        <f t="shared" si="4"/>
        <v>0</v>
      </c>
      <c r="F75" s="34">
        <f t="shared" si="3"/>
        <v>-468.12900000000002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69</v>
      </c>
      <c r="B77" s="51" t="s">
        <v>70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71</v>
      </c>
      <c r="B78" s="39" t="s">
        <v>72</v>
      </c>
      <c r="C78" s="37">
        <v>468.12900000000002</v>
      </c>
      <c r="D78" s="37">
        <v>0</v>
      </c>
      <c r="E78" s="38">
        <f t="shared" si="4"/>
        <v>0</v>
      </c>
      <c r="F78" s="38">
        <f t="shared" si="3"/>
        <v>-468.12900000000002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947.8</v>
      </c>
      <c r="D79" s="32">
        <f>D80</f>
        <v>158.99247</v>
      </c>
      <c r="E79" s="34">
        <f t="shared" si="4"/>
        <v>16.774896602658789</v>
      </c>
      <c r="F79" s="34">
        <f t="shared" si="3"/>
        <v>-788.80752999999993</v>
      </c>
    </row>
    <row r="80" spans="1:7" ht="15" customHeight="1">
      <c r="A80" s="35" t="s">
        <v>85</v>
      </c>
      <c r="B80" s="39" t="s">
        <v>229</v>
      </c>
      <c r="C80" s="37">
        <v>947.8</v>
      </c>
      <c r="D80" s="37">
        <v>158.99247</v>
      </c>
      <c r="E80" s="38">
        <f t="shared" si="4"/>
        <v>16.774896602658789</v>
      </c>
      <c r="F80" s="38">
        <f t="shared" si="3"/>
        <v>-788.80752999999993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2</v>
      </c>
      <c r="D86" s="32">
        <f>D87+D88+D89+D90+D91</f>
        <v>0</v>
      </c>
      <c r="E86" s="38">
        <f t="shared" si="4"/>
        <v>0</v>
      </c>
      <c r="F86" s="22">
        <f>F87+F88+F89+F90+F91</f>
        <v>-2</v>
      </c>
    </row>
    <row r="87" spans="1:8" ht="17.25" customHeight="1">
      <c r="A87" s="35" t="s">
        <v>94</v>
      </c>
      <c r="B87" s="39" t="s">
        <v>95</v>
      </c>
      <c r="C87" s="37">
        <v>2</v>
      </c>
      <c r="D87" s="37">
        <v>0</v>
      </c>
      <c r="E87" s="38">
        <f t="shared" si="4"/>
        <v>0</v>
      </c>
      <c r="F87" s="38">
        <f>SUM(D87-C87)</f>
        <v>-2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5"/>
      <c r="D94" s="176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102">
        <f>C54+C62+C64+C70+C75+C79+C81+C86+C92</f>
        <v>5222.6550000000007</v>
      </c>
      <c r="D96" s="33">
        <f>D54+D62+D64+D70+D75+D79+D86</f>
        <v>370.13589000000002</v>
      </c>
      <c r="E96" s="34">
        <f t="shared" si="4"/>
        <v>7.0871212055937063</v>
      </c>
      <c r="F96" s="34">
        <f t="shared" si="3"/>
        <v>-4852.5191100000011</v>
      </c>
      <c r="G96" s="249"/>
      <c r="H96" s="249"/>
    </row>
    <row r="97" spans="1:4" ht="20.25" customHeight="1">
      <c r="C97" s="126"/>
      <c r="D97" s="101"/>
    </row>
    <row r="98" spans="1:4" s="65" customFormat="1" ht="13.5" customHeight="1">
      <c r="A98" s="63" t="s">
        <v>117</v>
      </c>
      <c r="B98" s="63"/>
      <c r="C98" s="116"/>
      <c r="D98" s="64"/>
    </row>
    <row r="99" spans="1:4" s="65" customFormat="1" ht="12.75">
      <c r="A99" s="66" t="s">
        <v>118</v>
      </c>
      <c r="B99" s="66"/>
      <c r="C99" s="134" t="s">
        <v>119</v>
      </c>
      <c r="D99" s="134"/>
    </row>
    <row r="100" spans="1:4" ht="5.25" customHeight="1">
      <c r="C100" s="120"/>
    </row>
    <row r="142" hidden="1"/>
  </sheetData>
  <customSheetViews>
    <customSheetView guid="{B30CE22D-C12F-4E12-8BB9-3AAE0A6991CC}" scale="70" showPageBreaks="1" hiddenRows="1" view="pageBreakPreview" topLeftCell="A16">
      <selection activeCell="C96" sqref="C9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2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8"/>
    </customSheetView>
    <customSheetView guid="{61528DAC-5C4C-48F4-ADE2-8A724B05A086}" scale="70" showPageBreaks="1" hiddenRows="1" view="pageBreakPreview" topLeftCell="A10">
      <selection activeCell="C87" sqref="C8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28" zoomScale="70" zoomScaleNormal="100" zoomScaleSheetLayoutView="70" workbookViewId="0">
      <selection activeCell="C65" sqref="C65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425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1096</v>
      </c>
      <c r="D4" s="5">
        <f>D5+D12+D14+D17+D20+D7</f>
        <v>86.522959999999998</v>
      </c>
      <c r="E4" s="5">
        <f>SUM(D4/C4*100)</f>
        <v>7.8944306569343068</v>
      </c>
      <c r="F4" s="5">
        <f>SUM(D4-C4)</f>
        <v>-1009.47704</v>
      </c>
    </row>
    <row r="5" spans="1:6" s="6" customFormat="1">
      <c r="A5" s="68">
        <v>1010000000</v>
      </c>
      <c r="B5" s="67" t="s">
        <v>5</v>
      </c>
      <c r="C5" s="5">
        <f>C6</f>
        <v>106.5</v>
      </c>
      <c r="D5" s="5">
        <f>D6</f>
        <v>8.99573</v>
      </c>
      <c r="E5" s="5">
        <f t="shared" ref="E5:E51" si="0">SUM(D5/C5*100)</f>
        <v>8.4466948356807521</v>
      </c>
      <c r="F5" s="5">
        <f t="shared" ref="F5:F51" si="1">SUM(D5-C5)</f>
        <v>-97.504270000000005</v>
      </c>
    </row>
    <row r="6" spans="1:6">
      <c r="A6" s="7">
        <v>1010200001</v>
      </c>
      <c r="B6" s="8" t="s">
        <v>224</v>
      </c>
      <c r="C6" s="9">
        <v>106.5</v>
      </c>
      <c r="D6" s="10">
        <v>8.99573</v>
      </c>
      <c r="E6" s="9">
        <f t="shared" ref="E6:E11" si="2">SUM(D6/C6*100)</f>
        <v>8.4466948356807521</v>
      </c>
      <c r="F6" s="9">
        <f t="shared" si="1"/>
        <v>-97.504270000000005</v>
      </c>
    </row>
    <row r="7" spans="1:6" ht="31.5">
      <c r="A7" s="3">
        <v>1030000000</v>
      </c>
      <c r="B7" s="13" t="s">
        <v>266</v>
      </c>
      <c r="C7" s="5">
        <f>C8+C10+C9</f>
        <v>368.5</v>
      </c>
      <c r="D7" s="5">
        <f>D8+D10+D9+D11</f>
        <v>57.899450000000002</v>
      </c>
      <c r="E7" s="9">
        <f t="shared" si="2"/>
        <v>15.712198100407058</v>
      </c>
      <c r="F7" s="9">
        <f t="shared" si="1"/>
        <v>-310.60055</v>
      </c>
    </row>
    <row r="8" spans="1:6">
      <c r="A8" s="7">
        <v>1030223001</v>
      </c>
      <c r="B8" s="8" t="s">
        <v>268</v>
      </c>
      <c r="C8" s="9">
        <v>137.44999999999999</v>
      </c>
      <c r="D8" s="10">
        <v>25.819459999999999</v>
      </c>
      <c r="E8" s="9">
        <f t="shared" si="2"/>
        <v>18.784619861767919</v>
      </c>
      <c r="F8" s="9">
        <f t="shared" si="1"/>
        <v>-111.63054</v>
      </c>
    </row>
    <row r="9" spans="1:6">
      <c r="A9" s="7">
        <v>1030224001</v>
      </c>
      <c r="B9" s="8" t="s">
        <v>274</v>
      </c>
      <c r="C9" s="9">
        <v>1.47</v>
      </c>
      <c r="D9" s="10">
        <v>0.16178999999999999</v>
      </c>
      <c r="E9" s="9">
        <f t="shared" si="2"/>
        <v>11.006122448979591</v>
      </c>
      <c r="F9" s="9">
        <f t="shared" si="1"/>
        <v>-1.3082099999999999</v>
      </c>
    </row>
    <row r="10" spans="1:6">
      <c r="A10" s="7">
        <v>1030225001</v>
      </c>
      <c r="B10" s="8" t="s">
        <v>267</v>
      </c>
      <c r="C10" s="9">
        <v>229.58</v>
      </c>
      <c r="D10" s="10">
        <v>36.958880000000001</v>
      </c>
      <c r="E10" s="9">
        <f t="shared" si="2"/>
        <v>16.098475476957923</v>
      </c>
      <c r="F10" s="9">
        <f t="shared" si="1"/>
        <v>-192.62112000000002</v>
      </c>
    </row>
    <row r="11" spans="1:6">
      <c r="A11" s="7">
        <v>1030226001</v>
      </c>
      <c r="B11" s="8" t="s">
        <v>276</v>
      </c>
      <c r="C11" s="9">
        <v>0</v>
      </c>
      <c r="D11" s="10">
        <v>-5.04068</v>
      </c>
      <c r="E11" s="9" t="e">
        <f t="shared" si="2"/>
        <v>#DIV/0!</v>
      </c>
      <c r="F11" s="9">
        <f t="shared" si="1"/>
        <v>-5.04068</v>
      </c>
    </row>
    <row r="12" spans="1:6" s="6" customFormat="1">
      <c r="A12" s="68">
        <v>1050000000</v>
      </c>
      <c r="B12" s="67" t="s">
        <v>6</v>
      </c>
      <c r="C12" s="5">
        <f>SUM(C13:C13)</f>
        <v>70</v>
      </c>
      <c r="D12" s="5">
        <f>SUM(D13:D13)</f>
        <v>0</v>
      </c>
      <c r="E12" s="5">
        <f t="shared" si="0"/>
        <v>0</v>
      </c>
      <c r="F12" s="5">
        <f t="shared" si="1"/>
        <v>-70</v>
      </c>
    </row>
    <row r="13" spans="1:6" ht="15.75" customHeight="1">
      <c r="A13" s="7">
        <v>1050300000</v>
      </c>
      <c r="B13" s="11" t="s">
        <v>225</v>
      </c>
      <c r="C13" s="12">
        <v>70</v>
      </c>
      <c r="D13" s="10">
        <v>0</v>
      </c>
      <c r="E13" s="9">
        <f t="shared" si="0"/>
        <v>0</v>
      </c>
      <c r="F13" s="9">
        <f t="shared" si="1"/>
        <v>-70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546</v>
      </c>
      <c r="D14" s="5">
        <f>D15+D16</f>
        <v>18.927780000000002</v>
      </c>
      <c r="E14" s="9">
        <f t="shared" si="0"/>
        <v>3.466626373626374</v>
      </c>
      <c r="F14" s="9">
        <f t="shared" si="1"/>
        <v>-527.07222000000002</v>
      </c>
    </row>
    <row r="15" spans="1:6" s="6" customFormat="1" ht="15.75" customHeight="1">
      <c r="A15" s="7">
        <v>1060100000</v>
      </c>
      <c r="B15" s="11" t="s">
        <v>8</v>
      </c>
      <c r="C15" s="192">
        <v>95</v>
      </c>
      <c r="D15" s="10">
        <v>0.80608999999999997</v>
      </c>
      <c r="E15" s="9">
        <f>SUM(D15/C15*100)</f>
        <v>0.84851578947368422</v>
      </c>
      <c r="F15" s="9">
        <f>SUM(D15-C14)</f>
        <v>-545.19390999999996</v>
      </c>
    </row>
    <row r="16" spans="1:6" ht="15.75" customHeight="1">
      <c r="A16" s="7">
        <v>1060600000</v>
      </c>
      <c r="B16" s="11" t="s">
        <v>7</v>
      </c>
      <c r="C16" s="9">
        <v>451</v>
      </c>
      <c r="D16" s="10">
        <v>18.121690000000001</v>
      </c>
      <c r="E16" s="9">
        <f t="shared" si="0"/>
        <v>4.0181130820399114</v>
      </c>
      <c r="F16" s="9">
        <f t="shared" si="1"/>
        <v>-432.87831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0.7</v>
      </c>
      <c r="E17" s="5">
        <f t="shared" si="0"/>
        <v>13.999999999999998</v>
      </c>
      <c r="F17" s="5">
        <f t="shared" si="1"/>
        <v>-4.3</v>
      </c>
    </row>
    <row r="18" spans="1:6" ht="18.75" customHeight="1">
      <c r="A18" s="7">
        <v>1080400001</v>
      </c>
      <c r="B18" s="8" t="s">
        <v>223</v>
      </c>
      <c r="C18" s="9">
        <v>5</v>
      </c>
      <c r="D18" s="10">
        <v>0.7</v>
      </c>
      <c r="E18" s="9">
        <f t="shared" si="0"/>
        <v>13.999999999999998</v>
      </c>
      <c r="F18" s="9">
        <f t="shared" si="1"/>
        <v>-4.3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226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85.6</v>
      </c>
      <c r="D25" s="5">
        <f>D26+D29+D31+D37-D34</f>
        <v>2.1145</v>
      </c>
      <c r="E25" s="5">
        <f t="shared" si="0"/>
        <v>2.4702102803738319</v>
      </c>
      <c r="F25" s="5">
        <f t="shared" si="1"/>
        <v>-83.485499999999988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85.6</v>
      </c>
      <c r="D26" s="5">
        <f>D27+D28</f>
        <v>0</v>
      </c>
      <c r="E26" s="5">
        <f t="shared" si="0"/>
        <v>0</v>
      </c>
      <c r="F26" s="5">
        <f t="shared" si="1"/>
        <v>-85.6</v>
      </c>
    </row>
    <row r="27" spans="1:6" ht="15.75" customHeight="1">
      <c r="A27" s="16">
        <v>1110502510</v>
      </c>
      <c r="B27" s="17" t="s">
        <v>221</v>
      </c>
      <c r="C27" s="12">
        <v>85.6</v>
      </c>
      <c r="D27" s="10">
        <v>0</v>
      </c>
      <c r="E27" s="9">
        <f t="shared" si="0"/>
        <v>0</v>
      </c>
      <c r="F27" s="9">
        <f t="shared" si="1"/>
        <v>-85.6</v>
      </c>
    </row>
    <row r="28" spans="1:6" ht="17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0</v>
      </c>
      <c r="D29" s="5">
        <f>D30</f>
        <v>2.1145</v>
      </c>
      <c r="E29" s="5" t="e">
        <f t="shared" si="0"/>
        <v>#DIV/0!</v>
      </c>
      <c r="F29" s="5">
        <f t="shared" si="1"/>
        <v>2.1145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2.1145</v>
      </c>
      <c r="E30" s="9" t="e">
        <f t="shared" si="0"/>
        <v>#DIV/0!</v>
      </c>
      <c r="F30" s="9">
        <f t="shared" si="1"/>
        <v>2.1145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240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325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7">
        <f>SUM(C4,C25)</f>
        <v>1181.5999999999999</v>
      </c>
      <c r="D40" s="127">
        <f>D4+D25</f>
        <v>88.637460000000004</v>
      </c>
      <c r="E40" s="5">
        <f t="shared" si="0"/>
        <v>7.5014776574136768</v>
      </c>
      <c r="F40" s="5">
        <f t="shared" si="1"/>
        <v>-1092.96254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4329.6620000000003</v>
      </c>
      <c r="D41" s="5">
        <f>D42+D44+D45+D46+D47+D48+D43+D50</f>
        <v>424.05919999999998</v>
      </c>
      <c r="E41" s="5">
        <f t="shared" si="0"/>
        <v>9.7942795534616778</v>
      </c>
      <c r="F41" s="5">
        <f t="shared" si="1"/>
        <v>-3905.6028000000001</v>
      </c>
      <c r="G41" s="19"/>
    </row>
    <row r="42" spans="1:7" ht="16.5" customHeight="1">
      <c r="A42" s="16">
        <v>2021000000</v>
      </c>
      <c r="B42" s="17" t="s">
        <v>18</v>
      </c>
      <c r="C42" s="12">
        <v>2064.4</v>
      </c>
      <c r="D42" s="12">
        <v>344.06079999999997</v>
      </c>
      <c r="E42" s="9">
        <f t="shared" si="0"/>
        <v>16.666382484014726</v>
      </c>
      <c r="F42" s="9">
        <f t="shared" si="1"/>
        <v>-1720.3392000000001</v>
      </c>
    </row>
    <row r="43" spans="1:7" ht="17.2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f>825.377+1346.1</f>
        <v>2171.4769999999999</v>
      </c>
      <c r="D44" s="10">
        <v>65.064999999999998</v>
      </c>
      <c r="E44" s="9">
        <f>SUM(D44/C44*100)</f>
        <v>2.9963476472465516</v>
      </c>
      <c r="F44" s="9">
        <f t="shared" si="1"/>
        <v>-2106.4119999999998</v>
      </c>
    </row>
    <row r="45" spans="1:7" ht="15" customHeight="1">
      <c r="A45" s="16">
        <v>2023000000</v>
      </c>
      <c r="B45" s="17" t="s">
        <v>20</v>
      </c>
      <c r="C45" s="12">
        <v>93.784999999999997</v>
      </c>
      <c r="D45" s="187">
        <v>14.933400000000001</v>
      </c>
      <c r="E45" s="9">
        <f t="shared" si="0"/>
        <v>15.92301540758117</v>
      </c>
      <c r="F45" s="9">
        <f t="shared" si="1"/>
        <v>-78.851599999999991</v>
      </c>
    </row>
    <row r="46" spans="1:7" ht="0.75" hidden="1" customHeight="1">
      <c r="A46" s="16">
        <v>2020400000</v>
      </c>
      <c r="B46" s="17" t="s">
        <v>21</v>
      </c>
      <c r="C46" s="12"/>
      <c r="D46" s="188">
        <v>0</v>
      </c>
      <c r="E46" s="9" t="e">
        <f t="shared" si="0"/>
        <v>#DIV/0!</v>
      </c>
      <c r="F46" s="9">
        <f t="shared" si="1"/>
        <v>0</v>
      </c>
    </row>
    <row r="47" spans="1:7" ht="32.25" hidden="1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334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93">
        <f>C40+C41</f>
        <v>5511.2620000000006</v>
      </c>
      <c r="D51" s="467">
        <f>D40+D41</f>
        <v>512.69665999999995</v>
      </c>
      <c r="E51" s="93">
        <f t="shared" si="0"/>
        <v>9.3027088895429024</v>
      </c>
      <c r="F51" s="93">
        <f t="shared" si="1"/>
        <v>-4998.565340000001</v>
      </c>
      <c r="G51" s="200"/>
      <c r="H51" s="200"/>
    </row>
    <row r="52" spans="1:8" s="6" customFormat="1">
      <c r="A52" s="3"/>
      <c r="B52" s="21" t="s">
        <v>306</v>
      </c>
      <c r="C52" s="93">
        <f>C51-C98</f>
        <v>0</v>
      </c>
      <c r="D52" s="93">
        <f>D51-D98</f>
        <v>41.96184999999997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26</v>
      </c>
      <c r="C54" s="179" t="s">
        <v>402</v>
      </c>
      <c r="D54" s="180" t="s">
        <v>411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2">
        <f>C57+C58+C59+C60+C61+C63+C62</f>
        <v>1356.1200000000001</v>
      </c>
      <c r="D56" s="33">
        <f>D57+D58+D59+D60+D61+D63+D62</f>
        <v>171.32400999999999</v>
      </c>
      <c r="E56" s="34">
        <f>SUM(D56/C56*100)</f>
        <v>12.633396012152314</v>
      </c>
      <c r="F56" s="34">
        <f>SUM(D56-C56)</f>
        <v>-1184.7959900000001</v>
      </c>
    </row>
    <row r="57" spans="1:8" s="6" customFormat="1" ht="31.5" hidden="1">
      <c r="A57" s="35" t="s">
        <v>29</v>
      </c>
      <c r="B57" s="36" t="s">
        <v>30</v>
      </c>
      <c r="C57" s="37"/>
      <c r="D57" s="136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1320.9</v>
      </c>
      <c r="D58" s="37">
        <v>171.32400999999999</v>
      </c>
      <c r="E58" s="38">
        <f t="shared" ref="E58:E98" si="3">SUM(D58/C58*100)</f>
        <v>12.970248315542431</v>
      </c>
      <c r="F58" s="38">
        <f t="shared" ref="F58:F98" si="4">SUM(D58-C58)</f>
        <v>-1149.57599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hidden="1" customHeight="1">
      <c r="A61" s="35" t="s">
        <v>37</v>
      </c>
      <c r="B61" s="39" t="s">
        <v>38</v>
      </c>
      <c r="C61" s="37">
        <v>27</v>
      </c>
      <c r="D61" s="37">
        <v>0</v>
      </c>
      <c r="E61" s="38">
        <f t="shared" si="3"/>
        <v>0</v>
      </c>
      <c r="F61" s="38">
        <f t="shared" si="4"/>
        <v>-27</v>
      </c>
    </row>
    <row r="62" spans="1:8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3.22</v>
      </c>
      <c r="D63" s="37">
        <v>0</v>
      </c>
      <c r="E63" s="38">
        <f t="shared" si="3"/>
        <v>0</v>
      </c>
      <c r="F63" s="38">
        <f t="shared" si="4"/>
        <v>-3.22</v>
      </c>
    </row>
    <row r="64" spans="1:8" s="6" customFormat="1">
      <c r="A64" s="41" t="s">
        <v>43</v>
      </c>
      <c r="B64" s="42" t="s">
        <v>44</v>
      </c>
      <c r="C64" s="32">
        <f>C65</f>
        <v>89.605000000000004</v>
      </c>
      <c r="D64" s="32">
        <f>D65</f>
        <v>14.120240000000001</v>
      </c>
      <c r="E64" s="34">
        <f t="shared" si="3"/>
        <v>15.758317058199879</v>
      </c>
      <c r="F64" s="34">
        <f t="shared" si="4"/>
        <v>-75.484760000000009</v>
      </c>
    </row>
    <row r="65" spans="1:7">
      <c r="A65" s="43" t="s">
        <v>45</v>
      </c>
      <c r="B65" s="44" t="s">
        <v>46</v>
      </c>
      <c r="C65" s="37">
        <v>89.605000000000004</v>
      </c>
      <c r="D65" s="37">
        <v>14.120240000000001</v>
      </c>
      <c r="E65" s="38">
        <f t="shared" si="3"/>
        <v>15.758317058199879</v>
      </c>
      <c r="F65" s="38">
        <f t="shared" si="4"/>
        <v>-75.484760000000009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6</v>
      </c>
      <c r="D66" s="32">
        <f>SUM(D69+D70+D71)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1.6</v>
      </c>
      <c r="D69" s="37">
        <v>0</v>
      </c>
      <c r="E69" s="38">
        <f t="shared" si="3"/>
        <v>0</v>
      </c>
      <c r="F69" s="38">
        <f t="shared" si="4"/>
        <v>-1.6</v>
      </c>
    </row>
    <row r="70" spans="1:7" ht="15.75" customHeight="1">
      <c r="A70" s="46" t="s">
        <v>214</v>
      </c>
      <c r="B70" s="47" t="s">
        <v>215</v>
      </c>
      <c r="C70" s="37">
        <v>2.4</v>
      </c>
      <c r="D70" s="37">
        <v>0</v>
      </c>
      <c r="E70" s="38">
        <f t="shared" si="3"/>
        <v>0</v>
      </c>
      <c r="F70" s="38">
        <f t="shared" si="4"/>
        <v>-2.4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2652.8980000000001</v>
      </c>
      <c r="D72" s="48">
        <f>SUM(D73:D76)</f>
        <v>98.001760000000004</v>
      </c>
      <c r="E72" s="34">
        <f t="shared" si="3"/>
        <v>3.6941397671527514</v>
      </c>
      <c r="F72" s="34">
        <f t="shared" si="4"/>
        <v>-2554.89624</v>
      </c>
    </row>
    <row r="73" spans="1:7" ht="15.75" customHeight="1">
      <c r="A73" s="35" t="s">
        <v>57</v>
      </c>
      <c r="B73" s="39" t="s">
        <v>58</v>
      </c>
      <c r="C73" s="49">
        <v>10.021000000000001</v>
      </c>
      <c r="D73" s="37">
        <v>0</v>
      </c>
      <c r="E73" s="38">
        <f t="shared" si="3"/>
        <v>0</v>
      </c>
      <c r="F73" s="38">
        <f t="shared" si="4"/>
        <v>-10.021000000000001</v>
      </c>
    </row>
    <row r="74" spans="1:7" s="6" customFormat="1" ht="19.5" customHeight="1">
      <c r="A74" s="35" t="s">
        <v>59</v>
      </c>
      <c r="B74" s="39" t="s">
        <v>60</v>
      </c>
      <c r="C74" s="49">
        <v>50</v>
      </c>
      <c r="D74" s="37">
        <v>18.47776</v>
      </c>
      <c r="E74" s="38">
        <f t="shared" si="3"/>
        <v>36.95552</v>
      </c>
      <c r="F74" s="38">
        <f t="shared" si="4"/>
        <v>-31.52224</v>
      </c>
      <c r="G74" s="50"/>
    </row>
    <row r="75" spans="1:7">
      <c r="A75" s="35" t="s">
        <v>61</v>
      </c>
      <c r="B75" s="39" t="s">
        <v>62</v>
      </c>
      <c r="C75" s="49">
        <v>2539.9769999999999</v>
      </c>
      <c r="D75" s="37">
        <v>79.524000000000001</v>
      </c>
      <c r="E75" s="38">
        <f t="shared" si="3"/>
        <v>3.1308944923517026</v>
      </c>
      <c r="F75" s="38">
        <f t="shared" si="4"/>
        <v>-2460.453</v>
      </c>
    </row>
    <row r="76" spans="1:7" ht="16.5" customHeight="1">
      <c r="A76" s="35" t="s">
        <v>63</v>
      </c>
      <c r="B76" s="39" t="s">
        <v>64</v>
      </c>
      <c r="C76" s="49">
        <v>52.9</v>
      </c>
      <c r="D76" s="37">
        <v>0</v>
      </c>
      <c r="E76" s="38">
        <f t="shared" si="3"/>
        <v>0</v>
      </c>
      <c r="F76" s="38">
        <f t="shared" si="4"/>
        <v>-52.9</v>
      </c>
    </row>
    <row r="77" spans="1:7" s="6" customFormat="1" ht="19.5" customHeight="1">
      <c r="A77" s="30" t="s">
        <v>65</v>
      </c>
      <c r="B77" s="31" t="s">
        <v>66</v>
      </c>
      <c r="C77" s="32">
        <f>SUM(C78:C80)</f>
        <v>374.23899999999998</v>
      </c>
      <c r="D77" s="32">
        <f>SUM(D78:D80)</f>
        <v>13.5688</v>
      </c>
      <c r="E77" s="34">
        <f t="shared" si="3"/>
        <v>3.6257044295223104</v>
      </c>
      <c r="F77" s="34">
        <f t="shared" si="4"/>
        <v>-360.67019999999997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71</v>
      </c>
      <c r="B80" s="39" t="s">
        <v>72</v>
      </c>
      <c r="C80" s="37">
        <v>374.23899999999998</v>
      </c>
      <c r="D80" s="37">
        <v>13.5688</v>
      </c>
      <c r="E80" s="38">
        <f t="shared" si="3"/>
        <v>3.6257044295223104</v>
      </c>
      <c r="F80" s="38">
        <f t="shared" si="4"/>
        <v>-360.67019999999997</v>
      </c>
    </row>
    <row r="81" spans="1:7" s="6" customFormat="1">
      <c r="A81" s="30" t="s">
        <v>83</v>
      </c>
      <c r="B81" s="31" t="s">
        <v>84</v>
      </c>
      <c r="C81" s="32">
        <f>C82</f>
        <v>1022.4</v>
      </c>
      <c r="D81" s="32">
        <f>SUM(D82)</f>
        <v>170.4</v>
      </c>
      <c r="E81" s="34">
        <f t="shared" si="3"/>
        <v>16.666666666666668</v>
      </c>
      <c r="F81" s="34">
        <f t="shared" si="4"/>
        <v>-852</v>
      </c>
    </row>
    <row r="82" spans="1:7" ht="17.25" customHeight="1">
      <c r="A82" s="35" t="s">
        <v>85</v>
      </c>
      <c r="B82" s="39" t="s">
        <v>229</v>
      </c>
      <c r="C82" s="37">
        <v>1022.4</v>
      </c>
      <c r="D82" s="37">
        <v>170.4</v>
      </c>
      <c r="E82" s="38">
        <f t="shared" si="3"/>
        <v>16.666666666666668</v>
      </c>
      <c r="F82" s="38">
        <f t="shared" si="4"/>
        <v>-852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3.32</v>
      </c>
      <c r="E88" s="38">
        <f t="shared" si="3"/>
        <v>33.199999999999996</v>
      </c>
      <c r="F88" s="22">
        <f>F89+F90+F91+F92+F93</f>
        <v>-6.68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>
        <v>3.32</v>
      </c>
      <c r="E89" s="38">
        <f t="shared" si="3"/>
        <v>33.199999999999996</v>
      </c>
      <c r="F89" s="38">
        <f>SUM(D89-C89)</f>
        <v>-6.68</v>
      </c>
      <c r="G89" s="247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322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466">
        <f>C56+C64+C66+C72+C77+C81+C83+C88+C94</f>
        <v>5511.2619999999997</v>
      </c>
      <c r="D98" s="466">
        <f>D56+D64+D66+D72+D77+D81+D83+D88+D94</f>
        <v>470.73480999999998</v>
      </c>
      <c r="E98" s="34">
        <f t="shared" si="3"/>
        <v>8.5413251992012</v>
      </c>
      <c r="F98" s="34">
        <f t="shared" si="4"/>
        <v>-5040.5271899999998</v>
      </c>
      <c r="G98" s="200"/>
      <c r="H98" s="200"/>
    </row>
    <row r="99" spans="1:8">
      <c r="C99" s="126"/>
      <c r="D99" s="101"/>
    </row>
    <row r="100" spans="1:8" s="65" customFormat="1" ht="16.5" customHeight="1">
      <c r="A100" s="63" t="s">
        <v>117</v>
      </c>
      <c r="B100" s="63"/>
      <c r="C100" s="185"/>
      <c r="D100" s="185"/>
      <c r="E100" s="248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20"/>
    </row>
    <row r="104" spans="1:8" ht="5.25" customHeight="1"/>
    <row r="142" hidden="1"/>
  </sheetData>
  <customSheetViews>
    <customSheetView guid="{B30CE22D-C12F-4E12-8BB9-3AAE0A6991CC}" scale="70" showPageBreaks="1" printArea="1" hiddenRows="1" view="pageBreakPreview" topLeftCell="A28">
      <selection activeCell="C65" sqref="C65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2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46" zoomScale="70" zoomScaleNormal="100" zoomScaleSheetLayoutView="70" workbookViewId="0">
      <selection activeCell="D83" sqref="D83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7" t="s">
        <v>427</v>
      </c>
      <c r="B1" s="517"/>
      <c r="C1" s="517"/>
      <c r="D1" s="517"/>
      <c r="E1" s="517"/>
      <c r="F1" s="517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812.43000000000006</v>
      </c>
      <c r="D4" s="5">
        <f>D5+D12+D14+D17+D7</f>
        <v>85.854009999999988</v>
      </c>
      <c r="E4" s="5">
        <f>SUM(D4/C4*100)</f>
        <v>10.56755782036606</v>
      </c>
      <c r="F4" s="5">
        <f>SUM(D4-C4)</f>
        <v>-726.57599000000005</v>
      </c>
    </row>
    <row r="5" spans="1:6" s="6" customFormat="1">
      <c r="A5" s="68">
        <v>1010000000</v>
      </c>
      <c r="B5" s="67" t="s">
        <v>5</v>
      </c>
      <c r="C5" s="5">
        <f>C6</f>
        <v>44.3</v>
      </c>
      <c r="D5" s="5">
        <f>D6</f>
        <v>4.8130199999999999</v>
      </c>
      <c r="E5" s="5">
        <f t="shared" ref="E5:E51" si="0">SUM(D5/C5*100)</f>
        <v>10.864604966139956</v>
      </c>
      <c r="F5" s="5">
        <f t="shared" ref="F5:F51" si="1">SUM(D5-C5)</f>
        <v>-39.486979999999996</v>
      </c>
    </row>
    <row r="6" spans="1:6">
      <c r="A6" s="7">
        <v>1010200001</v>
      </c>
      <c r="B6" s="8" t="s">
        <v>224</v>
      </c>
      <c r="C6" s="9">
        <v>44.3</v>
      </c>
      <c r="D6" s="10">
        <v>4.8130199999999999</v>
      </c>
      <c r="E6" s="9">
        <f t="shared" ref="E6:E11" si="2">SUM(D6/C6*100)</f>
        <v>10.864604966139956</v>
      </c>
      <c r="F6" s="9">
        <f t="shared" si="1"/>
        <v>-39.486979999999996</v>
      </c>
    </row>
    <row r="7" spans="1:6" ht="31.5">
      <c r="A7" s="3">
        <v>1030000000</v>
      </c>
      <c r="B7" s="13" t="s">
        <v>266</v>
      </c>
      <c r="C7" s="5">
        <f>C8+C10+C9</f>
        <v>376.13</v>
      </c>
      <c r="D7" s="5">
        <f>D8+D10+D9+D11</f>
        <v>59.097369999999991</v>
      </c>
      <c r="E7" s="5">
        <f t="shared" si="2"/>
        <v>15.711953314013769</v>
      </c>
      <c r="F7" s="5">
        <f t="shared" si="1"/>
        <v>-317.03262999999998</v>
      </c>
    </row>
    <row r="8" spans="1:6">
      <c r="A8" s="7">
        <v>1030223001</v>
      </c>
      <c r="B8" s="8" t="s">
        <v>268</v>
      </c>
      <c r="C8" s="9">
        <v>140.30000000000001</v>
      </c>
      <c r="D8" s="10">
        <v>26.353639999999999</v>
      </c>
      <c r="E8" s="9">
        <f t="shared" si="2"/>
        <v>18.783777619387028</v>
      </c>
      <c r="F8" s="9">
        <f t="shared" si="1"/>
        <v>-113.94636000000001</v>
      </c>
    </row>
    <row r="9" spans="1:6">
      <c r="A9" s="7">
        <v>1030224001</v>
      </c>
      <c r="B9" s="8" t="s">
        <v>274</v>
      </c>
      <c r="C9" s="9">
        <v>1.5</v>
      </c>
      <c r="D9" s="10">
        <v>0.16514999999999999</v>
      </c>
      <c r="E9" s="9">
        <f t="shared" si="2"/>
        <v>11.01</v>
      </c>
      <c r="F9" s="9">
        <f t="shared" si="1"/>
        <v>-1.3348500000000001</v>
      </c>
    </row>
    <row r="10" spans="1:6">
      <c r="A10" s="7">
        <v>1030225001</v>
      </c>
      <c r="B10" s="8" t="s">
        <v>267</v>
      </c>
      <c r="C10" s="9">
        <v>234.33</v>
      </c>
      <c r="D10" s="10">
        <v>37.723529999999997</v>
      </c>
      <c r="E10" s="9">
        <f t="shared" si="2"/>
        <v>16.098463705031364</v>
      </c>
      <c r="F10" s="9">
        <f t="shared" si="1"/>
        <v>-196.60647</v>
      </c>
    </row>
    <row r="11" spans="1:6">
      <c r="A11" s="7">
        <v>1030226001</v>
      </c>
      <c r="B11" s="8" t="s">
        <v>276</v>
      </c>
      <c r="C11" s="9">
        <v>0</v>
      </c>
      <c r="D11" s="10">
        <v>-5.1449499999999997</v>
      </c>
      <c r="E11" s="9" t="e">
        <f t="shared" si="2"/>
        <v>#DIV/0!</v>
      </c>
      <c r="F11" s="9">
        <f t="shared" si="1"/>
        <v>-5.1449499999999997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0</v>
      </c>
      <c r="E12" s="5">
        <f t="shared" si="0"/>
        <v>0</v>
      </c>
      <c r="F12" s="5">
        <f t="shared" si="1"/>
        <v>-50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0</v>
      </c>
      <c r="E13" s="9">
        <f t="shared" si="0"/>
        <v>0</v>
      </c>
      <c r="F13" s="9">
        <f t="shared" si="1"/>
        <v>-50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339</v>
      </c>
      <c r="D14" s="5">
        <f>D15+D16</f>
        <v>21.643619999999999</v>
      </c>
      <c r="E14" s="5">
        <f t="shared" si="0"/>
        <v>6.384548672566372</v>
      </c>
      <c r="F14" s="5">
        <f t="shared" si="1"/>
        <v>-317.35638</v>
      </c>
    </row>
    <row r="15" spans="1:6" s="6" customFormat="1" ht="15.75" customHeight="1">
      <c r="A15" s="7">
        <v>1060100000</v>
      </c>
      <c r="B15" s="11" t="s">
        <v>8</v>
      </c>
      <c r="C15" s="9">
        <v>65</v>
      </c>
      <c r="D15" s="10">
        <v>3.8869699999999998</v>
      </c>
      <c r="E15" s="9">
        <f t="shared" si="0"/>
        <v>5.9799538461538457</v>
      </c>
      <c r="F15" s="9">
        <f>SUM(D15-C15)</f>
        <v>-61.113030000000002</v>
      </c>
    </row>
    <row r="16" spans="1:6" ht="15.75" customHeight="1">
      <c r="A16" s="7">
        <v>1060600000</v>
      </c>
      <c r="B16" s="11" t="s">
        <v>7</v>
      </c>
      <c r="C16" s="9">
        <v>274</v>
      </c>
      <c r="D16" s="10">
        <v>17.75665</v>
      </c>
      <c r="E16" s="9">
        <f t="shared" si="0"/>
        <v>6.4805291970802923</v>
      </c>
      <c r="F16" s="9">
        <f t="shared" si="1"/>
        <v>-256.24335000000002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0.3</v>
      </c>
      <c r="E17" s="5">
        <f t="shared" si="0"/>
        <v>10</v>
      </c>
      <c r="F17" s="5">
        <f t="shared" si="1"/>
        <v>-2.7</v>
      </c>
    </row>
    <row r="18" spans="1:6" ht="16.5" customHeight="1">
      <c r="A18" s="7">
        <v>1080400001</v>
      </c>
      <c r="B18" s="8" t="s">
        <v>223</v>
      </c>
      <c r="C18" s="9">
        <v>3</v>
      </c>
      <c r="D18" s="10">
        <v>0.3</v>
      </c>
      <c r="E18" s="9">
        <f t="shared" si="0"/>
        <v>10</v>
      </c>
      <c r="F18" s="9">
        <f t="shared" si="1"/>
        <v>-2.7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179</v>
      </c>
      <c r="D25" s="5">
        <f>D26+D29+D31+D37+D34</f>
        <v>59.735870000000006</v>
      </c>
      <c r="E25" s="5">
        <f t="shared" si="0"/>
        <v>33.371994413407826</v>
      </c>
      <c r="F25" s="5">
        <f t="shared" si="1"/>
        <v>-119.26412999999999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179</v>
      </c>
      <c r="D26" s="5">
        <f>D27+D28</f>
        <v>53.532000000000004</v>
      </c>
      <c r="E26" s="5">
        <f t="shared" si="0"/>
        <v>29.906145251396648</v>
      </c>
      <c r="F26" s="5">
        <f t="shared" si="1"/>
        <v>-125.46799999999999</v>
      </c>
    </row>
    <row r="27" spans="1:6">
      <c r="A27" s="16">
        <v>1110502510</v>
      </c>
      <c r="B27" s="17" t="s">
        <v>221</v>
      </c>
      <c r="C27" s="12">
        <v>153</v>
      </c>
      <c r="D27" s="10">
        <v>49.196800000000003</v>
      </c>
      <c r="E27" s="9">
        <f t="shared" si="0"/>
        <v>32.154771241830069</v>
      </c>
      <c r="F27" s="9">
        <f t="shared" si="1"/>
        <v>-103.8032</v>
      </c>
    </row>
    <row r="28" spans="1:6" ht="18.75" customHeight="1">
      <c r="A28" s="7">
        <v>1110503505</v>
      </c>
      <c r="B28" s="11" t="s">
        <v>220</v>
      </c>
      <c r="C28" s="12">
        <v>26</v>
      </c>
      <c r="D28" s="10">
        <v>4.3352000000000004</v>
      </c>
      <c r="E28" s="9">
        <f t="shared" si="0"/>
        <v>16.673846153846156</v>
      </c>
      <c r="F28" s="9">
        <f t="shared" si="1"/>
        <v>-21.6648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0</v>
      </c>
      <c r="D29" s="5">
        <f>D30</f>
        <v>6.2038700000000002</v>
      </c>
      <c r="E29" s="5" t="e">
        <f t="shared" si="0"/>
        <v>#DIV/0!</v>
      </c>
      <c r="F29" s="5">
        <f t="shared" si="1"/>
        <v>6.2038700000000002</v>
      </c>
    </row>
    <row r="30" spans="1:6">
      <c r="A30" s="7">
        <v>1130206005</v>
      </c>
      <c r="B30" s="8" t="s">
        <v>219</v>
      </c>
      <c r="C30" s="9"/>
      <c r="D30" s="10">
        <v>6.2038700000000002</v>
      </c>
      <c r="E30" s="9" t="e">
        <f t="shared" si="0"/>
        <v>#DIV/0!</v>
      </c>
      <c r="F30" s="9">
        <f t="shared" si="1"/>
        <v>6.2038700000000002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240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7">
        <f>SUM(C4,C25)</f>
        <v>991.43000000000006</v>
      </c>
      <c r="D40" s="127">
        <f>D4+D25</f>
        <v>145.58987999999999</v>
      </c>
      <c r="E40" s="5">
        <f t="shared" si="0"/>
        <v>14.684837053548913</v>
      </c>
      <c r="F40" s="5">
        <f t="shared" si="1"/>
        <v>-845.84012000000007</v>
      </c>
    </row>
    <row r="41" spans="1:7" s="6" customFormat="1">
      <c r="A41" s="3">
        <v>2000000000</v>
      </c>
      <c r="B41" s="4" t="s">
        <v>17</v>
      </c>
      <c r="C41" s="5">
        <f>C42+C43+C44+C45+C46+C47+C50</f>
        <v>4487.8119999999999</v>
      </c>
      <c r="D41" s="5">
        <f>D42+D43+D44+D45+D46+D47+D50</f>
        <v>225.46340000000001</v>
      </c>
      <c r="E41" s="5">
        <f t="shared" si="0"/>
        <v>5.0239047446729055</v>
      </c>
      <c r="F41" s="5">
        <f t="shared" si="1"/>
        <v>-4262.3486000000003</v>
      </c>
      <c r="G41" s="19"/>
    </row>
    <row r="42" spans="1:7" ht="16.5" customHeight="1">
      <c r="A42" s="16">
        <v>2021000000</v>
      </c>
      <c r="B42" s="17" t="s">
        <v>18</v>
      </c>
      <c r="C42" s="12">
        <v>1263.2</v>
      </c>
      <c r="D42" s="12">
        <v>210.53</v>
      </c>
      <c r="E42" s="9">
        <f t="shared" si="0"/>
        <v>16.66640278657378</v>
      </c>
      <c r="F42" s="9">
        <f t="shared" si="1"/>
        <v>-1052.67</v>
      </c>
    </row>
    <row r="43" spans="1:7" ht="15.75" customHeight="1">
      <c r="A43" s="16">
        <v>2021500200</v>
      </c>
      <c r="B43" s="17" t="s">
        <v>227</v>
      </c>
      <c r="C43" s="12">
        <v>300</v>
      </c>
      <c r="D43" s="20">
        <v>0</v>
      </c>
      <c r="E43" s="9">
        <f t="shared" si="0"/>
        <v>0</v>
      </c>
      <c r="F43" s="9">
        <f t="shared" si="1"/>
        <v>-300</v>
      </c>
    </row>
    <row r="44" spans="1:7" ht="18" customHeight="1">
      <c r="A44" s="16">
        <v>2022000000</v>
      </c>
      <c r="B44" s="17" t="s">
        <v>19</v>
      </c>
      <c r="C44" s="12">
        <f>1078.827+1752</f>
        <v>2830.8270000000002</v>
      </c>
      <c r="D44" s="10">
        <v>0</v>
      </c>
      <c r="E44" s="9">
        <f t="shared" si="0"/>
        <v>0</v>
      </c>
      <c r="F44" s="9">
        <f t="shared" si="1"/>
        <v>-2830.8270000000002</v>
      </c>
    </row>
    <row r="45" spans="1:7" ht="13.5" customHeight="1">
      <c r="A45" s="16">
        <v>2023000000</v>
      </c>
      <c r="B45" s="17" t="s">
        <v>20</v>
      </c>
      <c r="C45" s="12">
        <v>93.784999999999997</v>
      </c>
      <c r="D45" s="187">
        <v>14.933400000000001</v>
      </c>
      <c r="E45" s="9">
        <f t="shared" si="0"/>
        <v>15.92301540758117</v>
      </c>
      <c r="F45" s="9">
        <f t="shared" si="1"/>
        <v>-78.851599999999991</v>
      </c>
    </row>
    <row r="46" spans="1:7" ht="15" customHeight="1">
      <c r="A46" s="16">
        <v>2024000000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8.5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2080500010</v>
      </c>
      <c r="B48" s="18" t="s">
        <v>244</v>
      </c>
      <c r="C48" s="12"/>
      <c r="D48" s="188"/>
      <c r="E48" s="9"/>
      <c r="F48" s="9"/>
    </row>
    <row r="49" spans="1:8" s="6" customFormat="1" ht="21.75" hidden="1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334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194">
        <f>C40+C41</f>
        <v>5479.2420000000002</v>
      </c>
      <c r="D51" s="468">
        <f>D40+D41</f>
        <v>371.05327999999997</v>
      </c>
      <c r="E51" s="93">
        <f t="shared" si="0"/>
        <v>6.7719819639285861</v>
      </c>
      <c r="F51" s="93">
        <f t="shared" si="1"/>
        <v>-5108.1887200000001</v>
      </c>
      <c r="G51" s="94"/>
      <c r="H51" s="249"/>
    </row>
    <row r="52" spans="1:8" s="6" customFormat="1" ht="16.5" customHeight="1">
      <c r="A52" s="7"/>
      <c r="B52" s="21" t="s">
        <v>307</v>
      </c>
      <c r="C52" s="194">
        <f>C51-C98</f>
        <v>0</v>
      </c>
      <c r="D52" s="194">
        <f>D51-D98</f>
        <v>79.331779999999981</v>
      </c>
      <c r="E52" s="195"/>
      <c r="F52" s="195"/>
    </row>
    <row r="53" spans="1:8">
      <c r="A53" s="3"/>
      <c r="B53" s="24"/>
      <c r="C53" s="218"/>
      <c r="D53" s="218"/>
      <c r="E53" s="26"/>
      <c r="F53" s="27"/>
    </row>
    <row r="54" spans="1:8" ht="32.25" customHeight="1">
      <c r="A54" s="23"/>
      <c r="B54" s="28" t="s">
        <v>26</v>
      </c>
      <c r="C54" s="184" t="s">
        <v>402</v>
      </c>
      <c r="D54" s="73" t="s">
        <v>411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33">
        <f>C57+C58+C59+C60+C61+C63+C62</f>
        <v>1181.259</v>
      </c>
      <c r="D56" s="33">
        <f>D57+D58+D59+D60+D61+D63+D62</f>
        <v>108.07249</v>
      </c>
      <c r="E56" s="34">
        <f>SUM(D56/C56*100)</f>
        <v>9.1489241563450516</v>
      </c>
      <c r="F56" s="34">
        <f>SUM(D56-C56)</f>
        <v>-1073.18651</v>
      </c>
    </row>
    <row r="57" spans="1:8" s="6" customFormat="1" ht="15.75" hidden="1" customHeight="1">
      <c r="A57" s="30" t="s">
        <v>27</v>
      </c>
      <c r="B57" s="36" t="s">
        <v>30</v>
      </c>
      <c r="C57" s="196"/>
      <c r="D57" s="196"/>
      <c r="E57" s="38"/>
      <c r="F57" s="38"/>
    </row>
    <row r="58" spans="1:8" ht="17.25" customHeight="1">
      <c r="A58" s="35" t="s">
        <v>31</v>
      </c>
      <c r="B58" s="39" t="s">
        <v>32</v>
      </c>
      <c r="C58" s="196">
        <v>1153.2</v>
      </c>
      <c r="D58" s="196">
        <v>108.07249</v>
      </c>
      <c r="E58" s="38">
        <f t="shared" ref="E58:E98" si="3">SUM(D58/C58*100)</f>
        <v>9.3715305237599722</v>
      </c>
      <c r="F58" s="38">
        <f t="shared" ref="F58:F98" si="4">SUM(D58-C58)</f>
        <v>-1045.12751</v>
      </c>
    </row>
    <row r="59" spans="1:8" ht="17.25" hidden="1" customHeight="1">
      <c r="A59" s="35" t="s">
        <v>31</v>
      </c>
      <c r="B59" s="39" t="s">
        <v>34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96">
        <v>20.516999999999999</v>
      </c>
      <c r="D61" s="196">
        <v>0</v>
      </c>
      <c r="E61" s="38">
        <f t="shared" si="3"/>
        <v>0</v>
      </c>
      <c r="F61" s="38">
        <f t="shared" si="4"/>
        <v>-20.516999999999999</v>
      </c>
    </row>
    <row r="62" spans="1:8" ht="15.75" customHeight="1">
      <c r="A62" s="35" t="s">
        <v>39</v>
      </c>
      <c r="B62" s="39" t="s">
        <v>40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96">
        <v>2.5419999999999998</v>
      </c>
      <c r="D63" s="196">
        <v>0</v>
      </c>
      <c r="E63" s="38">
        <f t="shared" si="3"/>
        <v>0</v>
      </c>
      <c r="F63" s="38">
        <f t="shared" si="4"/>
        <v>-2.5419999999999998</v>
      </c>
    </row>
    <row r="64" spans="1:8" s="6" customFormat="1">
      <c r="A64" s="30" t="s">
        <v>43</v>
      </c>
      <c r="B64" s="42" t="s">
        <v>44</v>
      </c>
      <c r="C64" s="33">
        <f>C65</f>
        <v>89.605000000000004</v>
      </c>
      <c r="D64" s="33">
        <f>D65</f>
        <v>9.8989999999999991</v>
      </c>
      <c r="E64" s="34">
        <f t="shared" si="3"/>
        <v>11.047374588471625</v>
      </c>
      <c r="F64" s="34">
        <f t="shared" si="4"/>
        <v>-79.706000000000003</v>
      </c>
    </row>
    <row r="65" spans="1:9">
      <c r="A65" s="431" t="s">
        <v>45</v>
      </c>
      <c r="B65" s="44" t="s">
        <v>46</v>
      </c>
      <c r="C65" s="196">
        <v>89.605000000000004</v>
      </c>
      <c r="D65" s="196">
        <v>9.8989999999999991</v>
      </c>
      <c r="E65" s="38">
        <f t="shared" si="3"/>
        <v>11.047374588471625</v>
      </c>
      <c r="F65" s="38">
        <f t="shared" si="4"/>
        <v>-79.706000000000003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4</v>
      </c>
      <c r="D66" s="33">
        <f>D69+D70+D71</f>
        <v>0</v>
      </c>
      <c r="E66" s="34">
        <f t="shared" si="3"/>
        <v>0</v>
      </c>
      <c r="F66" s="34">
        <f t="shared" si="4"/>
        <v>-4</v>
      </c>
    </row>
    <row r="67" spans="1:9" ht="1.5" hidden="1" customHeight="1">
      <c r="A67" s="30" t="s">
        <v>47</v>
      </c>
      <c r="B67" s="39" t="s">
        <v>50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8">
        <v>1</v>
      </c>
      <c r="D69" s="196">
        <v>0</v>
      </c>
      <c r="E69" s="34">
        <f t="shared" si="3"/>
        <v>0</v>
      </c>
      <c r="F69" s="34">
        <f t="shared" si="4"/>
        <v>-1</v>
      </c>
    </row>
    <row r="70" spans="1:9">
      <c r="A70" s="46" t="s">
        <v>214</v>
      </c>
      <c r="B70" s="47" t="s">
        <v>215</v>
      </c>
      <c r="C70" s="196">
        <v>1</v>
      </c>
      <c r="D70" s="196">
        <v>0</v>
      </c>
      <c r="E70" s="34">
        <f t="shared" si="3"/>
        <v>0</v>
      </c>
      <c r="F70" s="34">
        <f t="shared" si="4"/>
        <v>-1</v>
      </c>
    </row>
    <row r="71" spans="1:9">
      <c r="A71" s="46" t="s">
        <v>339</v>
      </c>
      <c r="B71" s="47" t="s">
        <v>394</v>
      </c>
      <c r="C71" s="196">
        <v>2</v>
      </c>
      <c r="D71" s="196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2" t="s">
        <v>55</v>
      </c>
      <c r="B72" s="31" t="s">
        <v>56</v>
      </c>
      <c r="C72" s="33">
        <f>SUM(C73:C76)</f>
        <v>3216.9780000000001</v>
      </c>
      <c r="D72" s="33">
        <f>SUM(D73:D76)</f>
        <v>12.9689</v>
      </c>
      <c r="E72" s="34">
        <f t="shared" si="3"/>
        <v>0.40313921947865361</v>
      </c>
      <c r="F72" s="34">
        <f t="shared" si="4"/>
        <v>-3204.0091000000002</v>
      </c>
      <c r="I72" s="108"/>
    </row>
    <row r="73" spans="1:9" ht="15.75" customHeight="1">
      <c r="A73" s="35" t="s">
        <v>57</v>
      </c>
      <c r="B73" s="39" t="s">
        <v>58</v>
      </c>
      <c r="C73" s="196">
        <v>10.021000000000001</v>
      </c>
      <c r="D73" s="196">
        <v>0</v>
      </c>
      <c r="E73" s="38">
        <f t="shared" si="3"/>
        <v>0</v>
      </c>
      <c r="F73" s="38">
        <f t="shared" si="4"/>
        <v>-10.021000000000001</v>
      </c>
    </row>
    <row r="74" spans="1:9" s="6" customFormat="1" ht="19.5" customHeight="1">
      <c r="A74" s="35" t="s">
        <v>59</v>
      </c>
      <c r="B74" s="39" t="s">
        <v>60</v>
      </c>
      <c r="C74" s="196">
        <v>0</v>
      </c>
      <c r="D74" s="196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6">
        <v>3206.9569999999999</v>
      </c>
      <c r="D75" s="196">
        <v>12.9689</v>
      </c>
      <c r="E75" s="38">
        <f t="shared" si="3"/>
        <v>0.40439893643725189</v>
      </c>
      <c r="F75" s="38">
        <f t="shared" si="4"/>
        <v>-3193.9881</v>
      </c>
    </row>
    <row r="76" spans="1:9">
      <c r="A76" s="35" t="s">
        <v>63</v>
      </c>
      <c r="B76" s="39" t="s">
        <v>64</v>
      </c>
      <c r="C76" s="196">
        <v>0</v>
      </c>
      <c r="D76" s="196">
        <v>0</v>
      </c>
      <c r="E76" s="38" t="e">
        <f t="shared" si="3"/>
        <v>#DIV/0!</v>
      </c>
      <c r="F76" s="38">
        <f t="shared" si="4"/>
        <v>0</v>
      </c>
    </row>
    <row r="77" spans="1:9" s="6" customFormat="1" ht="18" customHeight="1">
      <c r="A77" s="30" t="s">
        <v>65</v>
      </c>
      <c r="B77" s="31" t="s">
        <v>66</v>
      </c>
      <c r="C77" s="33">
        <f>SUM(C78:C80)</f>
        <v>153</v>
      </c>
      <c r="D77" s="33">
        <f>SUM(D78:D80)</f>
        <v>20.781110000000002</v>
      </c>
      <c r="E77" s="34">
        <f t="shared" si="3"/>
        <v>13.582424836601309</v>
      </c>
      <c r="F77" s="34">
        <f t="shared" si="4"/>
        <v>-132.21888999999999</v>
      </c>
    </row>
    <row r="78" spans="1:9" ht="15" hidden="1" customHeight="1">
      <c r="A78" s="30" t="s">
        <v>65</v>
      </c>
      <c r="B78" s="51" t="s">
        <v>68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67</v>
      </c>
      <c r="B79" s="51" t="s">
        <v>70</v>
      </c>
      <c r="C79" s="196"/>
      <c r="D79" s="196"/>
      <c r="E79" s="38" t="e">
        <f t="shared" si="3"/>
        <v>#DIV/0!</v>
      </c>
      <c r="F79" s="38">
        <f t="shared" si="4"/>
        <v>0</v>
      </c>
    </row>
    <row r="80" spans="1:9">
      <c r="A80" s="35" t="s">
        <v>71</v>
      </c>
      <c r="B80" s="39" t="s">
        <v>72</v>
      </c>
      <c r="C80" s="196">
        <v>153</v>
      </c>
      <c r="D80" s="196">
        <v>20.781110000000002</v>
      </c>
      <c r="E80" s="38">
        <f t="shared" si="3"/>
        <v>13.582424836601309</v>
      </c>
      <c r="F80" s="38">
        <f t="shared" si="4"/>
        <v>-132.21888999999999</v>
      </c>
    </row>
    <row r="81" spans="1:12" s="6" customFormat="1">
      <c r="A81" s="30" t="s">
        <v>83</v>
      </c>
      <c r="B81" s="31" t="s">
        <v>84</v>
      </c>
      <c r="C81" s="33">
        <f>C82</f>
        <v>832.4</v>
      </c>
      <c r="D81" s="33">
        <f>SUM(D82)</f>
        <v>140</v>
      </c>
      <c r="E81" s="34">
        <f t="shared" si="3"/>
        <v>16.818837097549256</v>
      </c>
      <c r="F81" s="34">
        <f t="shared" si="4"/>
        <v>-692.4</v>
      </c>
    </row>
    <row r="82" spans="1:12" ht="15.75" customHeight="1">
      <c r="A82" s="35" t="s">
        <v>85</v>
      </c>
      <c r="B82" s="39" t="s">
        <v>229</v>
      </c>
      <c r="C82" s="196">
        <v>832.4</v>
      </c>
      <c r="D82" s="196">
        <v>140</v>
      </c>
      <c r="E82" s="38">
        <f t="shared" si="3"/>
        <v>16.818837097549256</v>
      </c>
      <c r="F82" s="38">
        <f t="shared" si="4"/>
        <v>-692.4</v>
      </c>
      <c r="L82" s="107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6"/>
      <c r="D84" s="196"/>
      <c r="E84" s="244" t="e">
        <f>SUM(D84/C84*100)</f>
        <v>#DIV/0!</v>
      </c>
      <c r="F84" s="244">
        <f>SUM(D84-C84)</f>
        <v>0</v>
      </c>
    </row>
    <row r="85" spans="1:12" hidden="1">
      <c r="A85" s="53">
        <v>1001</v>
      </c>
      <c r="B85" s="54" t="s">
        <v>88</v>
      </c>
      <c r="C85" s="196"/>
      <c r="D85" s="196"/>
      <c r="E85" s="244" t="e">
        <f>SUM(D85/C85*100)</f>
        <v>#DIV/0!</v>
      </c>
      <c r="F85" s="244">
        <f>SUM(D85-C85)</f>
        <v>0</v>
      </c>
    </row>
    <row r="86" spans="1:12" hidden="1">
      <c r="A86" s="53">
        <v>1003</v>
      </c>
      <c r="B86" s="54" t="s">
        <v>89</v>
      </c>
      <c r="C86" s="196"/>
      <c r="D86" s="199"/>
      <c r="E86" s="244" t="e">
        <f>SUM(D86/C86*100)</f>
        <v>#DIV/0!</v>
      </c>
      <c r="F86" s="244">
        <f>SUM(D86-C86)</f>
        <v>0</v>
      </c>
    </row>
    <row r="87" spans="1:12" ht="15" customHeight="1">
      <c r="A87" s="53">
        <v>1004</v>
      </c>
      <c r="B87" s="39" t="s">
        <v>91</v>
      </c>
      <c r="C87" s="196">
        <v>0</v>
      </c>
      <c r="D87" s="196">
        <v>0</v>
      </c>
      <c r="E87" s="244" t="e">
        <f>SUM(D87/C87*100)</f>
        <v>#DIV/0!</v>
      </c>
      <c r="F87" s="244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</v>
      </c>
      <c r="D88" s="33">
        <f>D89+D90+D91+D92+D93</f>
        <v>0</v>
      </c>
      <c r="E88" s="38">
        <f t="shared" si="3"/>
        <v>0</v>
      </c>
      <c r="F88" s="22">
        <f>F89+F90+F91+F92+F93</f>
        <v>-2</v>
      </c>
    </row>
    <row r="89" spans="1:12" ht="15.75" customHeight="1">
      <c r="A89" s="35" t="s">
        <v>94</v>
      </c>
      <c r="B89" s="39" t="s">
        <v>95</v>
      </c>
      <c r="C89" s="196">
        <v>2</v>
      </c>
      <c r="D89" s="196">
        <v>0</v>
      </c>
      <c r="E89" s="38">
        <f t="shared" si="3"/>
        <v>0</v>
      </c>
      <c r="F89" s="38">
        <f>SUM(D89-C89)</f>
        <v>-2</v>
      </c>
    </row>
    <row r="90" spans="1:12" ht="0.75" hidden="1" customHeight="1">
      <c r="A90" s="35" t="s">
        <v>94</v>
      </c>
      <c r="B90" s="39" t="s">
        <v>97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33">
        <f>C56+C64+C66+C72+C77+C81+C88+C83</f>
        <v>5479.2420000000002</v>
      </c>
      <c r="D98" s="33">
        <f>D56+D64+D66+D72+D77+D81+D88+D83</f>
        <v>291.72149999999999</v>
      </c>
      <c r="E98" s="34">
        <f t="shared" si="3"/>
        <v>5.3241214751967512</v>
      </c>
      <c r="F98" s="34">
        <f t="shared" si="4"/>
        <v>-5187.5205000000005</v>
      </c>
      <c r="G98" s="151"/>
      <c r="H98" s="261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117</v>
      </c>
      <c r="B101" s="66"/>
      <c r="C101" s="134" t="s">
        <v>119</v>
      </c>
      <c r="D101" s="134"/>
    </row>
    <row r="102" spans="1:8">
      <c r="A102" s="66" t="s">
        <v>118</v>
      </c>
      <c r="C102" s="120"/>
    </row>
    <row r="104" spans="1:8" ht="5.25" customHeight="1"/>
    <row r="142" hidden="1"/>
  </sheetData>
  <customSheetViews>
    <customSheetView guid="{B30CE22D-C12F-4E12-8BB9-3AAE0A6991CC}" scale="70" showPageBreaks="1" hiddenRows="1" view="pageBreakPreview" topLeftCell="A46">
      <selection activeCell="D83" sqref="D83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2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7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37">
      <selection activeCell="C89" sqref="C89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43" zoomScale="70" zoomScaleNormal="100" zoomScaleSheetLayoutView="70" workbookViewId="0">
      <selection activeCell="D69" sqref="D69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6" t="s">
        <v>428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43.5" customHeight="1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2994.34</v>
      </c>
      <c r="D4" s="5">
        <f>D5+D12+D14+D17+D7</f>
        <v>352.90121000000005</v>
      </c>
      <c r="E4" s="5">
        <f>SUM(D4/C4*100)</f>
        <v>11.78560918265795</v>
      </c>
      <c r="F4" s="5">
        <f>SUM(D4-C4)</f>
        <v>-2641.4387900000002</v>
      </c>
    </row>
    <row r="5" spans="1:6" s="6" customFormat="1">
      <c r="A5" s="68">
        <v>1010000000</v>
      </c>
      <c r="B5" s="67" t="s">
        <v>5</v>
      </c>
      <c r="C5" s="5">
        <f>C6</f>
        <v>115.4</v>
      </c>
      <c r="D5" s="5">
        <f>D6</f>
        <v>19.005279999999999</v>
      </c>
      <c r="E5" s="5">
        <f t="shared" ref="E5:E50" si="0">SUM(D5/C5*100)</f>
        <v>16.469046793760832</v>
      </c>
      <c r="F5" s="5">
        <f t="shared" ref="F5:F50" si="1">SUM(D5-C5)</f>
        <v>-96.394720000000007</v>
      </c>
    </row>
    <row r="6" spans="1:6">
      <c r="A6" s="7">
        <v>1010200001</v>
      </c>
      <c r="B6" s="8" t="s">
        <v>224</v>
      </c>
      <c r="C6" s="9">
        <v>115.4</v>
      </c>
      <c r="D6" s="10">
        <v>19.005279999999999</v>
      </c>
      <c r="E6" s="9">
        <f t="shared" ref="E6:E11" si="2">SUM(D6/C6*100)</f>
        <v>16.469046793760832</v>
      </c>
      <c r="F6" s="9">
        <f t="shared" si="1"/>
        <v>-96.394720000000007</v>
      </c>
    </row>
    <row r="7" spans="1:6" ht="31.5">
      <c r="A7" s="3">
        <v>1030000000</v>
      </c>
      <c r="B7" s="13" t="s">
        <v>266</v>
      </c>
      <c r="C7" s="5">
        <f>C8+C10+C9</f>
        <v>609.93999999999994</v>
      </c>
      <c r="D7" s="5">
        <f>D8+D10+D9+D11</f>
        <v>95.833590000000001</v>
      </c>
      <c r="E7" s="5">
        <f t="shared" si="2"/>
        <v>15.711970029839003</v>
      </c>
      <c r="F7" s="5">
        <f t="shared" si="1"/>
        <v>-514.10640999999998</v>
      </c>
    </row>
    <row r="8" spans="1:6">
      <c r="A8" s="7">
        <v>1030223001</v>
      </c>
      <c r="B8" s="8" t="s">
        <v>268</v>
      </c>
      <c r="C8" s="9">
        <v>227.51</v>
      </c>
      <c r="D8" s="10">
        <v>42.73563</v>
      </c>
      <c r="E8" s="9">
        <f t="shared" si="2"/>
        <v>18.784066634433653</v>
      </c>
      <c r="F8" s="9">
        <f t="shared" si="1"/>
        <v>-184.77436999999998</v>
      </c>
    </row>
    <row r="9" spans="1:6">
      <c r="A9" s="7">
        <v>1030224001</v>
      </c>
      <c r="B9" s="8" t="s">
        <v>274</v>
      </c>
      <c r="C9" s="9">
        <v>2.4300000000000002</v>
      </c>
      <c r="D9" s="10">
        <v>0.26780999999999999</v>
      </c>
      <c r="E9" s="9">
        <f t="shared" si="2"/>
        <v>11.020987654320987</v>
      </c>
      <c r="F9" s="9">
        <f t="shared" si="1"/>
        <v>-2.1621900000000003</v>
      </c>
    </row>
    <row r="10" spans="1:6">
      <c r="A10" s="7">
        <v>1030225001</v>
      </c>
      <c r="B10" s="8" t="s">
        <v>267</v>
      </c>
      <c r="C10" s="9">
        <v>380</v>
      </c>
      <c r="D10" s="10">
        <v>61.173319999999997</v>
      </c>
      <c r="E10" s="9">
        <f t="shared" si="2"/>
        <v>16.098242105263157</v>
      </c>
      <c r="F10" s="9">
        <f t="shared" si="1"/>
        <v>-318.82668000000001</v>
      </c>
    </row>
    <row r="11" spans="1:6">
      <c r="A11" s="7">
        <v>1030226001</v>
      </c>
      <c r="B11" s="8" t="s">
        <v>276</v>
      </c>
      <c r="C11" s="9">
        <v>0</v>
      </c>
      <c r="D11" s="10">
        <v>-8.3431700000000006</v>
      </c>
      <c r="E11" s="9" t="e">
        <f t="shared" si="2"/>
        <v>#DIV/0!</v>
      </c>
      <c r="F11" s="9">
        <f t="shared" si="1"/>
        <v>-8.3431700000000006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0</v>
      </c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2239</v>
      </c>
      <c r="D14" s="5">
        <f>D15+D16</f>
        <v>237.06234000000001</v>
      </c>
      <c r="E14" s="5">
        <f t="shared" si="0"/>
        <v>10.587866904868246</v>
      </c>
      <c r="F14" s="5">
        <f t="shared" si="1"/>
        <v>-2001.9376600000001</v>
      </c>
    </row>
    <row r="15" spans="1:6" s="6" customFormat="1" ht="15.75" customHeight="1">
      <c r="A15" s="7">
        <v>1060100000</v>
      </c>
      <c r="B15" s="11" t="s">
        <v>8</v>
      </c>
      <c r="C15" s="9">
        <v>260</v>
      </c>
      <c r="D15" s="10">
        <v>3.1251099999999998</v>
      </c>
      <c r="E15" s="9">
        <f t="shared" si="0"/>
        <v>1.2019653846153844</v>
      </c>
      <c r="F15" s="9">
        <f>SUM(D15-C15)</f>
        <v>-256.87488999999999</v>
      </c>
    </row>
    <row r="16" spans="1:6" ht="15.75" customHeight="1">
      <c r="A16" s="7">
        <v>1060600000</v>
      </c>
      <c r="B16" s="11" t="s">
        <v>7</v>
      </c>
      <c r="C16" s="9">
        <v>1979</v>
      </c>
      <c r="D16" s="10">
        <v>233.93723</v>
      </c>
      <c r="E16" s="9">
        <f t="shared" si="0"/>
        <v>11.820981808994443</v>
      </c>
      <c r="F16" s="9">
        <f t="shared" si="1"/>
        <v>-1745.06277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</v>
      </c>
      <c r="E17" s="5">
        <f t="shared" si="0"/>
        <v>10</v>
      </c>
      <c r="F17" s="5">
        <f t="shared" si="1"/>
        <v>-9</v>
      </c>
    </row>
    <row r="18" spans="1:6" ht="15" customHeight="1">
      <c r="A18" s="7">
        <v>1080400001</v>
      </c>
      <c r="B18" s="8" t="s">
        <v>223</v>
      </c>
      <c r="C18" s="9">
        <v>10</v>
      </c>
      <c r="D18" s="10">
        <v>1</v>
      </c>
      <c r="E18" s="9">
        <f t="shared" si="0"/>
        <v>10</v>
      </c>
      <c r="F18" s="9">
        <f t="shared" si="1"/>
        <v>-9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432.8</v>
      </c>
      <c r="D25" s="5">
        <f>D26+D29+D31+D34</f>
        <v>53.03293</v>
      </c>
      <c r="E25" s="5">
        <f t="shared" si="0"/>
        <v>12.253449630314233</v>
      </c>
      <c r="F25" s="5">
        <f t="shared" si="1"/>
        <v>-379.76706999999999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432.8</v>
      </c>
      <c r="D26" s="5">
        <f>D27+D28</f>
        <v>42.890540000000001</v>
      </c>
      <c r="E26" s="5">
        <f t="shared" si="0"/>
        <v>9.9100138632162658</v>
      </c>
      <c r="F26" s="5">
        <f t="shared" si="1"/>
        <v>-389.90946000000002</v>
      </c>
    </row>
    <row r="27" spans="1:6">
      <c r="A27" s="16">
        <v>1110502510</v>
      </c>
      <c r="B27" s="17" t="s">
        <v>221</v>
      </c>
      <c r="C27" s="12">
        <v>353.3</v>
      </c>
      <c r="D27" s="10">
        <v>34.602020000000003</v>
      </c>
      <c r="E27" s="9">
        <f t="shared" si="0"/>
        <v>9.7939484857061991</v>
      </c>
      <c r="F27" s="9">
        <f t="shared" si="1"/>
        <v>-318.69798000000003</v>
      </c>
    </row>
    <row r="28" spans="1:6">
      <c r="A28" s="7">
        <v>1110503510</v>
      </c>
      <c r="B28" s="11" t="s">
        <v>220</v>
      </c>
      <c r="C28" s="12">
        <v>79.5</v>
      </c>
      <c r="D28" s="10">
        <v>8.2885200000000001</v>
      </c>
      <c r="E28" s="9">
        <f t="shared" si="0"/>
        <v>10.425811320754717</v>
      </c>
      <c r="F28" s="9">
        <f t="shared" si="1"/>
        <v>-71.211479999999995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0</v>
      </c>
      <c r="D29" s="5">
        <f>D30</f>
        <v>10.142390000000001</v>
      </c>
      <c r="E29" s="5" t="e">
        <f t="shared" si="0"/>
        <v>#DIV/0!</v>
      </c>
      <c r="F29" s="5">
        <f t="shared" si="1"/>
        <v>10.142390000000001</v>
      </c>
    </row>
    <row r="30" spans="1:6" ht="21" customHeight="1">
      <c r="A30" s="7">
        <v>1130206510</v>
      </c>
      <c r="B30" s="8" t="s">
        <v>14</v>
      </c>
      <c r="C30" s="9">
        <v>0</v>
      </c>
      <c r="D30" s="10">
        <v>10.142390000000001</v>
      </c>
      <c r="E30" s="9" t="e">
        <f t="shared" si="0"/>
        <v>#DIV/0!</v>
      </c>
      <c r="F30" s="9">
        <f t="shared" si="1"/>
        <v>10.142390000000001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255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7">
        <f>SUM(C4,C25)</f>
        <v>3427.1400000000003</v>
      </c>
      <c r="D39" s="127">
        <f>SUM(D4,D25)</f>
        <v>405.93414000000007</v>
      </c>
      <c r="E39" s="5">
        <f t="shared" si="0"/>
        <v>11.844690908454281</v>
      </c>
      <c r="F39" s="5">
        <f t="shared" si="1"/>
        <v>-3021.20586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1555.3250000000003</v>
      </c>
      <c r="D40" s="5">
        <f>SUM(D41:D48)</f>
        <v>217.8246</v>
      </c>
      <c r="E40" s="5">
        <f t="shared" si="0"/>
        <v>14.005085753781362</v>
      </c>
      <c r="F40" s="5">
        <f t="shared" si="1"/>
        <v>-1337.5004000000004</v>
      </c>
      <c r="G40" s="19"/>
    </row>
    <row r="41" spans="1:7" ht="15" customHeight="1">
      <c r="A41" s="16">
        <v>2021000000</v>
      </c>
      <c r="B41" s="17" t="s">
        <v>18</v>
      </c>
      <c r="C41" s="12">
        <v>415.4</v>
      </c>
      <c r="D41" s="255">
        <v>69.232200000000006</v>
      </c>
      <c r="E41" s="9">
        <f t="shared" si="0"/>
        <v>16.666393837265289</v>
      </c>
      <c r="F41" s="9">
        <f t="shared" si="1"/>
        <v>-346.16779999999994</v>
      </c>
    </row>
    <row r="42" spans="1:7" ht="1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f>861.44+185.9</f>
        <v>1047.3400000000001</v>
      </c>
      <c r="D43" s="10">
        <v>133.65899999999999</v>
      </c>
      <c r="E43" s="9">
        <f t="shared" si="0"/>
        <v>12.761758359272058</v>
      </c>
      <c r="F43" s="9">
        <f t="shared" si="1"/>
        <v>-913.68100000000015</v>
      </c>
    </row>
    <row r="44" spans="1:7" ht="18.75" customHeight="1">
      <c r="A44" s="16">
        <v>2023000000</v>
      </c>
      <c r="B44" s="17" t="s">
        <v>20</v>
      </c>
      <c r="C44" s="12">
        <v>92.584999999999994</v>
      </c>
      <c r="D44" s="187">
        <v>14.933400000000001</v>
      </c>
      <c r="E44" s="9">
        <f t="shared" si="0"/>
        <v>16.129394610358048</v>
      </c>
      <c r="F44" s="9">
        <f t="shared" si="1"/>
        <v>-77.651599999999988</v>
      </c>
    </row>
    <row r="45" spans="1:7" ht="17.25" customHeight="1">
      <c r="A45" s="16">
        <v>2024000000</v>
      </c>
      <c r="B45" s="17" t="s">
        <v>21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7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288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45">
        <v>2190000010</v>
      </c>
      <c r="B49" s="24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93">
        <f>C39+C40</f>
        <v>4982.4650000000001</v>
      </c>
      <c r="D50" s="467">
        <f>D39+D40</f>
        <v>623.7587400000001</v>
      </c>
      <c r="E50" s="5">
        <f t="shared" si="0"/>
        <v>12.519079210792249</v>
      </c>
      <c r="F50" s="5">
        <f t="shared" si="1"/>
        <v>-4358.7062599999999</v>
      </c>
      <c r="G50" s="94"/>
      <c r="H50" s="260"/>
    </row>
    <row r="51" spans="1:8" s="6" customFormat="1">
      <c r="A51" s="3"/>
      <c r="B51" s="21" t="s">
        <v>306</v>
      </c>
      <c r="C51" s="93">
        <f>C50-C97</f>
        <v>0</v>
      </c>
      <c r="D51" s="93">
        <f>D50-D97</f>
        <v>68.354170000000067</v>
      </c>
      <c r="E51" s="22"/>
      <c r="F51" s="22"/>
    </row>
    <row r="52" spans="1:8">
      <c r="A52" s="23"/>
      <c r="B52" s="24"/>
      <c r="C52" s="242"/>
      <c r="D52" s="242" t="s">
        <v>320</v>
      </c>
      <c r="E52" s="26"/>
      <c r="F52" s="92"/>
    </row>
    <row r="53" spans="1:8" ht="42.75" customHeight="1">
      <c r="A53" s="28" t="s">
        <v>0</v>
      </c>
      <c r="B53" s="28" t="s">
        <v>26</v>
      </c>
      <c r="C53" s="179" t="s">
        <v>402</v>
      </c>
      <c r="D53" s="180" t="s">
        <v>411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2">
        <f>C56+C57+C58+C59+C60+C62+C61</f>
        <v>1513.4279999999999</v>
      </c>
      <c r="D55" s="32">
        <f>D56+D57+D58+D59+D60+D62+D61</f>
        <v>135.47792999999999</v>
      </c>
      <c r="E55" s="34">
        <f>SUM(D55/C55*100)</f>
        <v>8.9517261475273351</v>
      </c>
      <c r="F55" s="34">
        <f>SUM(D55-C55)</f>
        <v>-1377.9500699999999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1474.8</v>
      </c>
      <c r="D57" s="37">
        <v>135.47792999999999</v>
      </c>
      <c r="E57" s="34">
        <f>SUM(D57/C57*100)</f>
        <v>9.1861899918633032</v>
      </c>
      <c r="F57" s="38">
        <f t="shared" ref="F57:F97" si="3">SUM(D57-C57)</f>
        <v>-1339.3220699999999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hidden="1" customHeight="1">
      <c r="A60" s="35" t="s">
        <v>37</v>
      </c>
      <c r="B60" s="39" t="s">
        <v>38</v>
      </c>
      <c r="C60" s="37">
        <v>30</v>
      </c>
      <c r="D60" s="37">
        <v>0</v>
      </c>
      <c r="E60" s="38">
        <f t="shared" ref="E60:E97" si="4">SUM(D60/C60*100)</f>
        <v>0</v>
      </c>
      <c r="F60" s="38">
        <f t="shared" si="3"/>
        <v>-30</v>
      </c>
    </row>
    <row r="61" spans="1:8">
      <c r="A61" s="35" t="s">
        <v>39</v>
      </c>
      <c r="B61" s="39" t="s">
        <v>40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41</v>
      </c>
      <c r="B62" s="39" t="s">
        <v>42</v>
      </c>
      <c r="C62" s="37">
        <v>3.6280000000000001</v>
      </c>
      <c r="D62" s="37">
        <v>0</v>
      </c>
      <c r="E62" s="38">
        <f t="shared" si="4"/>
        <v>0</v>
      </c>
      <c r="F62" s="38">
        <f t="shared" si="3"/>
        <v>-3.6280000000000001</v>
      </c>
    </row>
    <row r="63" spans="1:8" s="6" customFormat="1">
      <c r="A63" s="41" t="s">
        <v>43</v>
      </c>
      <c r="B63" s="42" t="s">
        <v>44</v>
      </c>
      <c r="C63" s="32">
        <f>C64</f>
        <v>89.605000000000004</v>
      </c>
      <c r="D63" s="32">
        <f>D64</f>
        <v>9.8966399999999997</v>
      </c>
      <c r="E63" s="34">
        <f t="shared" si="4"/>
        <v>11.044740806874616</v>
      </c>
      <c r="F63" s="34">
        <f t="shared" si="3"/>
        <v>-79.708359999999999</v>
      </c>
    </row>
    <row r="64" spans="1:8">
      <c r="A64" s="43" t="s">
        <v>45</v>
      </c>
      <c r="B64" s="44" t="s">
        <v>46</v>
      </c>
      <c r="C64" s="37">
        <v>89.605000000000004</v>
      </c>
      <c r="D64" s="37">
        <v>9.8966399999999997</v>
      </c>
      <c r="E64" s="38">
        <f t="shared" si="4"/>
        <v>11.044740806874616</v>
      </c>
      <c r="F64" s="38">
        <f t="shared" si="3"/>
        <v>-79.708359999999999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</v>
      </c>
      <c r="D65" s="32">
        <f>SUM(D68+D69+D70)</f>
        <v>1.5</v>
      </c>
      <c r="E65" s="34">
        <f t="shared" si="4"/>
        <v>6.8181818181818175</v>
      </c>
      <c r="F65" s="34">
        <f t="shared" si="3"/>
        <v>-20.5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2</v>
      </c>
      <c r="D68" s="37">
        <v>0</v>
      </c>
      <c r="E68" s="34">
        <f t="shared" si="4"/>
        <v>0</v>
      </c>
      <c r="F68" s="34">
        <f t="shared" si="3"/>
        <v>-2</v>
      </c>
    </row>
    <row r="69" spans="1:7">
      <c r="A69" s="46" t="s">
        <v>214</v>
      </c>
      <c r="B69" s="47" t="s">
        <v>215</v>
      </c>
      <c r="C69" s="37">
        <v>18</v>
      </c>
      <c r="D69" s="37">
        <v>1.5</v>
      </c>
      <c r="E69" s="34">
        <f t="shared" si="4"/>
        <v>8.3333333333333321</v>
      </c>
      <c r="F69" s="34">
        <f t="shared" si="3"/>
        <v>-16.5</v>
      </c>
    </row>
    <row r="70" spans="1:7">
      <c r="A70" s="46" t="s">
        <v>339</v>
      </c>
      <c r="B70" s="47" t="s">
        <v>394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1894.4380000000001</v>
      </c>
      <c r="D71" s="48">
        <f>SUM(D72:D75)</f>
        <v>227.41</v>
      </c>
      <c r="E71" s="34">
        <f t="shared" si="4"/>
        <v>12.004087755841047</v>
      </c>
      <c r="F71" s="34">
        <f t="shared" si="3"/>
        <v>-1667.028</v>
      </c>
    </row>
    <row r="72" spans="1:7">
      <c r="A72" s="35" t="s">
        <v>57</v>
      </c>
      <c r="B72" s="39" t="s">
        <v>58</v>
      </c>
      <c r="C72" s="49">
        <v>7.1580000000000004</v>
      </c>
      <c r="D72" s="37">
        <v>0</v>
      </c>
      <c r="E72" s="38">
        <f t="shared" si="4"/>
        <v>0</v>
      </c>
      <c r="F72" s="38">
        <f t="shared" si="3"/>
        <v>-7.1580000000000004</v>
      </c>
    </row>
    <row r="73" spans="1:7" s="6" customFormat="1">
      <c r="A73" s="35" t="s">
        <v>59</v>
      </c>
      <c r="B73" s="39" t="s">
        <v>60</v>
      </c>
      <c r="C73" s="49">
        <v>355.9</v>
      </c>
      <c r="D73" s="37">
        <v>70</v>
      </c>
      <c r="E73" s="38">
        <f t="shared" si="4"/>
        <v>19.668446192750775</v>
      </c>
      <c r="F73" s="38">
        <f t="shared" si="3"/>
        <v>-285.89999999999998</v>
      </c>
      <c r="G73" s="50"/>
    </row>
    <row r="74" spans="1:7">
      <c r="A74" s="35" t="s">
        <v>61</v>
      </c>
      <c r="B74" s="39" t="s">
        <v>62</v>
      </c>
      <c r="C74" s="49">
        <v>1471.38</v>
      </c>
      <c r="D74" s="37">
        <v>148.51</v>
      </c>
      <c r="E74" s="38">
        <f t="shared" si="4"/>
        <v>10.093245796463183</v>
      </c>
      <c r="F74" s="38">
        <f t="shared" si="3"/>
        <v>-1322.8700000000001</v>
      </c>
    </row>
    <row r="75" spans="1:7">
      <c r="A75" s="35" t="s">
        <v>63</v>
      </c>
      <c r="B75" s="39" t="s">
        <v>64</v>
      </c>
      <c r="C75" s="49">
        <v>60</v>
      </c>
      <c r="D75" s="37">
        <v>8.9</v>
      </c>
      <c r="E75" s="38">
        <f t="shared" si="4"/>
        <v>14.833333333333334</v>
      </c>
      <c r="F75" s="38">
        <f t="shared" si="3"/>
        <v>-51.1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395.49400000000003</v>
      </c>
      <c r="D76" s="32">
        <f>SUM(D77:D79)</f>
        <v>4.5999999999999996</v>
      </c>
      <c r="E76" s="34">
        <f t="shared" si="4"/>
        <v>1.1631023479496527</v>
      </c>
      <c r="F76" s="34">
        <f t="shared" si="3"/>
        <v>-390.89400000000001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71</v>
      </c>
      <c r="B79" s="39" t="s">
        <v>72</v>
      </c>
      <c r="C79" s="37">
        <v>395.49400000000003</v>
      </c>
      <c r="D79" s="37">
        <v>4.5999999999999996</v>
      </c>
      <c r="E79" s="38">
        <f t="shared" si="4"/>
        <v>1.1631023479496527</v>
      </c>
      <c r="F79" s="38">
        <f t="shared" si="3"/>
        <v>-390.89400000000001</v>
      </c>
    </row>
    <row r="80" spans="1:7" s="6" customFormat="1">
      <c r="A80" s="30" t="s">
        <v>83</v>
      </c>
      <c r="B80" s="31" t="s">
        <v>84</v>
      </c>
      <c r="C80" s="32">
        <f>C81</f>
        <v>1065.5</v>
      </c>
      <c r="D80" s="32">
        <f>SUM(D81)</f>
        <v>176.52</v>
      </c>
      <c r="E80" s="34">
        <f t="shared" si="4"/>
        <v>16.566870014077896</v>
      </c>
      <c r="F80" s="34">
        <f t="shared" si="3"/>
        <v>-888.98</v>
      </c>
    </row>
    <row r="81" spans="1:6" ht="15.75" customHeight="1">
      <c r="A81" s="35" t="s">
        <v>85</v>
      </c>
      <c r="B81" s="39" t="s">
        <v>229</v>
      </c>
      <c r="C81" s="37">
        <v>1065.5</v>
      </c>
      <c r="D81" s="37">
        <v>176.52</v>
      </c>
      <c r="E81" s="38">
        <f t="shared" si="4"/>
        <v>16.566870014077896</v>
      </c>
      <c r="F81" s="38">
        <f t="shared" si="3"/>
        <v>-888.98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0</v>
      </c>
      <c r="E87" s="38">
        <f t="shared" si="4"/>
        <v>0</v>
      </c>
      <c r="F87" s="22">
        <f>F88+F89+F90+F91+F92</f>
        <v>-2</v>
      </c>
    </row>
    <row r="88" spans="1:6" ht="17.25" customHeight="1">
      <c r="A88" s="35" t="s">
        <v>94</v>
      </c>
      <c r="B88" s="39" t="s">
        <v>95</v>
      </c>
      <c r="C88" s="37">
        <v>2</v>
      </c>
      <c r="D88" s="37">
        <v>0</v>
      </c>
      <c r="E88" s="38">
        <f t="shared" si="4"/>
        <v>0</v>
      </c>
      <c r="F88" s="38">
        <f>SUM(D88-C88)</f>
        <v>-2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466">
        <f>C55+C63+C71+C76+C80+C82+C87+C65+C93</f>
        <v>4982.4650000000001</v>
      </c>
      <c r="D97" s="466">
        <f>D55+D63+D71+D76+D80+D82+D87+D65+D93</f>
        <v>555.40457000000004</v>
      </c>
      <c r="E97" s="34">
        <f t="shared" si="4"/>
        <v>11.147184576309115</v>
      </c>
      <c r="F97" s="34">
        <f t="shared" si="3"/>
        <v>-4427.0604300000005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117</v>
      </c>
      <c r="B99" s="63"/>
      <c r="C99" s="185"/>
      <c r="D99" s="185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20"/>
    </row>
    <row r="103" spans="1:8" ht="5.25" customHeight="1"/>
    <row r="142" hidden="1"/>
  </sheetData>
  <customSheetViews>
    <customSheetView guid="{B30CE22D-C12F-4E12-8BB9-3AAE0A6991CC}" scale="70" showPageBreaks="1" printArea="1" hiddenRows="1" view="pageBreakPreview" topLeftCell="A43">
      <selection activeCell="D69" sqref="D6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2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6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printArea="1" hiddenRows="1" view="pageBreakPreview" topLeftCell="A31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view="pageBreakPreview" topLeftCell="A34" zoomScale="70" zoomScaleNormal="100" zoomScaleSheetLayoutView="70" workbookViewId="0">
      <selection activeCell="E77" sqref="E77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421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1147.43</v>
      </c>
      <c r="D4" s="5">
        <f>D5+D12+D14+D17+D7</f>
        <v>120.04826000000001</v>
      </c>
      <c r="E4" s="5">
        <f>SUM(D4/C4*100)</f>
        <v>10.46236023112521</v>
      </c>
      <c r="F4" s="5">
        <f>SUM(D4-C4)</f>
        <v>-1027.38174</v>
      </c>
    </row>
    <row r="5" spans="1:6" s="6" customFormat="1">
      <c r="A5" s="68">
        <v>1010000000</v>
      </c>
      <c r="B5" s="67" t="s">
        <v>5</v>
      </c>
      <c r="C5" s="5">
        <f>C6</f>
        <v>146.4</v>
      </c>
      <c r="D5" s="5">
        <f>D6</f>
        <v>16.691079999999999</v>
      </c>
      <c r="E5" s="5">
        <f t="shared" ref="E5:E52" si="0">SUM(D5/C5*100)</f>
        <v>11.401010928961748</v>
      </c>
      <c r="F5" s="5">
        <f t="shared" ref="F5:F52" si="1">SUM(D5-C5)</f>
        <v>-129.70892000000001</v>
      </c>
    </row>
    <row r="6" spans="1:6">
      <c r="A6" s="7">
        <v>1010200001</v>
      </c>
      <c r="B6" s="8" t="s">
        <v>224</v>
      </c>
      <c r="C6" s="9">
        <v>146.4</v>
      </c>
      <c r="D6" s="10">
        <v>16.691079999999999</v>
      </c>
      <c r="E6" s="9">
        <f t="shared" ref="E6:E11" si="2">SUM(D6/C6*100)</f>
        <v>11.401010928961748</v>
      </c>
      <c r="F6" s="9">
        <f t="shared" si="1"/>
        <v>-129.70892000000001</v>
      </c>
    </row>
    <row r="7" spans="1:6" ht="31.5">
      <c r="A7" s="3">
        <v>1030000000</v>
      </c>
      <c r="B7" s="13" t="s">
        <v>266</v>
      </c>
      <c r="C7" s="5">
        <f>C8+C10+C9</f>
        <v>554.03000000000009</v>
      </c>
      <c r="D7" s="5">
        <f>D8+D10+D9+D11</f>
        <v>87.048840000000013</v>
      </c>
      <c r="E7" s="5">
        <f t="shared" si="2"/>
        <v>15.711936176741331</v>
      </c>
      <c r="F7" s="5">
        <f t="shared" si="1"/>
        <v>-466.98116000000005</v>
      </c>
    </row>
    <row r="8" spans="1:6">
      <c r="A8" s="7">
        <v>1030223001</v>
      </c>
      <c r="B8" s="8" t="s">
        <v>268</v>
      </c>
      <c r="C8" s="9">
        <v>206.65</v>
      </c>
      <c r="D8" s="10">
        <v>38.818210000000001</v>
      </c>
      <c r="E8" s="9">
        <f t="shared" si="2"/>
        <v>18.784519719332206</v>
      </c>
      <c r="F8" s="9">
        <f t="shared" si="1"/>
        <v>-167.83179000000001</v>
      </c>
    </row>
    <row r="9" spans="1:6">
      <c r="A9" s="7">
        <v>1030224001</v>
      </c>
      <c r="B9" s="8" t="s">
        <v>274</v>
      </c>
      <c r="C9" s="9">
        <v>2.2200000000000002</v>
      </c>
      <c r="D9" s="10">
        <v>0.24329000000000001</v>
      </c>
      <c r="E9" s="9">
        <f t="shared" si="2"/>
        <v>10.959009009009009</v>
      </c>
      <c r="F9" s="9">
        <f t="shared" si="1"/>
        <v>-1.9767100000000002</v>
      </c>
    </row>
    <row r="10" spans="1:6">
      <c r="A10" s="7">
        <v>1030225001</v>
      </c>
      <c r="B10" s="8" t="s">
        <v>267</v>
      </c>
      <c r="C10" s="9">
        <v>345.16</v>
      </c>
      <c r="D10" s="10">
        <v>55.565759999999997</v>
      </c>
      <c r="E10" s="9">
        <f t="shared" si="2"/>
        <v>16.098551396453818</v>
      </c>
      <c r="F10" s="9">
        <f t="shared" si="1"/>
        <v>-289.59424000000001</v>
      </c>
    </row>
    <row r="11" spans="1:6">
      <c r="A11" s="7">
        <v>1030226001</v>
      </c>
      <c r="B11" s="8" t="s">
        <v>276</v>
      </c>
      <c r="C11" s="9">
        <v>0</v>
      </c>
      <c r="D11" s="10">
        <v>-7.5784200000000004</v>
      </c>
      <c r="E11" s="9" t="e">
        <f t="shared" si="2"/>
        <v>#DIV/0!</v>
      </c>
      <c r="F11" s="9">
        <f t="shared" si="1"/>
        <v>-7.5784200000000004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432</v>
      </c>
      <c r="D14" s="5">
        <f>D15+D16</f>
        <v>15.20834</v>
      </c>
      <c r="E14" s="5">
        <f t="shared" si="0"/>
        <v>3.5204490740740737</v>
      </c>
      <c r="F14" s="5">
        <f t="shared" si="1"/>
        <v>-416.79165999999998</v>
      </c>
    </row>
    <row r="15" spans="1:6" s="6" customFormat="1" ht="15.75" customHeight="1">
      <c r="A15" s="7">
        <v>1060100000</v>
      </c>
      <c r="B15" s="11" t="s">
        <v>8</v>
      </c>
      <c r="C15" s="9">
        <v>120</v>
      </c>
      <c r="D15" s="10">
        <v>4.5334099999999999</v>
      </c>
      <c r="E15" s="9">
        <f t="shared" si="0"/>
        <v>3.7778416666666668</v>
      </c>
      <c r="F15" s="9">
        <f>SUM(D15-C15)</f>
        <v>-115.46659</v>
      </c>
    </row>
    <row r="16" spans="1:6" ht="15.75" customHeight="1">
      <c r="A16" s="7">
        <v>1060600000</v>
      </c>
      <c r="B16" s="11" t="s">
        <v>7</v>
      </c>
      <c r="C16" s="9">
        <v>312</v>
      </c>
      <c r="D16" s="10">
        <v>10.67493</v>
      </c>
      <c r="E16" s="9">
        <f t="shared" si="0"/>
        <v>3.4214519230769227</v>
      </c>
      <c r="F16" s="9">
        <f t="shared" si="1"/>
        <v>-301.32506999999998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1.1000000000000001</v>
      </c>
      <c r="E17" s="5">
        <f t="shared" si="0"/>
        <v>11.000000000000002</v>
      </c>
      <c r="F17" s="5">
        <f t="shared" si="1"/>
        <v>-8.9</v>
      </c>
    </row>
    <row r="18" spans="1:6" ht="17.25" customHeight="1">
      <c r="A18" s="7">
        <v>1080400001</v>
      </c>
      <c r="B18" s="8" t="s">
        <v>257</v>
      </c>
      <c r="C18" s="9">
        <v>10</v>
      </c>
      <c r="D18" s="10">
        <v>1.1000000000000001</v>
      </c>
      <c r="E18" s="9">
        <f t="shared" si="0"/>
        <v>11.000000000000002</v>
      </c>
      <c r="F18" s="9">
        <f t="shared" si="1"/>
        <v>-8.9</v>
      </c>
    </row>
    <row r="19" spans="1:6" ht="49.5" hidden="1" customHeight="1">
      <c r="A19" s="7">
        <v>1080714001</v>
      </c>
      <c r="B19" s="8" t="s">
        <v>222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55</v>
      </c>
      <c r="D25" s="5">
        <f>D26+D29+D31+D34</f>
        <v>82.054019999999994</v>
      </c>
      <c r="E25" s="5">
        <f t="shared" si="0"/>
        <v>149.18912727272726</v>
      </c>
      <c r="F25" s="5">
        <f t="shared" si="1"/>
        <v>27.054019999999994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9</v>
      </c>
      <c r="E26" s="5">
        <f t="shared" si="0"/>
        <v>16.363636363636363</v>
      </c>
      <c r="F26" s="5">
        <f t="shared" si="1"/>
        <v>-46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55</v>
      </c>
      <c r="D28" s="10">
        <v>9</v>
      </c>
      <c r="E28" s="9">
        <f t="shared" si="0"/>
        <v>16.363636363636363</v>
      </c>
      <c r="F28" s="9">
        <f t="shared" si="1"/>
        <v>-46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0</v>
      </c>
      <c r="D29" s="5">
        <f>D30</f>
        <v>73.054019999999994</v>
      </c>
      <c r="E29" s="5" t="e">
        <f t="shared" si="0"/>
        <v>#DIV/0!</v>
      </c>
      <c r="F29" s="5">
        <f t="shared" si="1"/>
        <v>73.054019999999994</v>
      </c>
    </row>
    <row r="30" spans="1:6" ht="15.75" customHeight="1">
      <c r="A30" s="7">
        <v>1130206005</v>
      </c>
      <c r="B30" s="8" t="s">
        <v>14</v>
      </c>
      <c r="C30" s="9">
        <v>0</v>
      </c>
      <c r="D30" s="10">
        <v>73.054019999999994</v>
      </c>
      <c r="E30" s="9" t="e">
        <f t="shared" si="0"/>
        <v>#DIV/0!</v>
      </c>
      <c r="F30" s="9">
        <f t="shared" si="1"/>
        <v>73.054019999999994</v>
      </c>
    </row>
    <row r="31" spans="1:6" ht="14.2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hidden="1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7">
        <f>SUM(C4,C25)</f>
        <v>1202.43</v>
      </c>
      <c r="D37" s="127">
        <f>D4+D25</f>
        <v>202.10228000000001</v>
      </c>
      <c r="E37" s="5">
        <f t="shared" si="0"/>
        <v>16.807820829486957</v>
      </c>
      <c r="F37" s="5">
        <f t="shared" si="1"/>
        <v>-1000.32772</v>
      </c>
    </row>
    <row r="38" spans="1:7" s="6" customFormat="1">
      <c r="A38" s="3">
        <v>2000000000</v>
      </c>
      <c r="B38" s="4" t="s">
        <v>17</v>
      </c>
      <c r="C38" s="5">
        <f>C39+C41+C42+C43+C50+C51</f>
        <v>5570.2979999999998</v>
      </c>
      <c r="D38" s="5">
        <f>D39+D41+D42+D43+D50+D51</f>
        <v>685.94659999999988</v>
      </c>
      <c r="E38" s="5">
        <f t="shared" si="0"/>
        <v>12.314360919290133</v>
      </c>
      <c r="F38" s="5">
        <f t="shared" si="1"/>
        <v>-4884.3513999999996</v>
      </c>
      <c r="G38" s="19"/>
    </row>
    <row r="39" spans="1:7" ht="16.5" customHeight="1">
      <c r="A39" s="16">
        <v>2021000000</v>
      </c>
      <c r="B39" s="17" t="s">
        <v>18</v>
      </c>
      <c r="C39" s="12">
        <v>3421</v>
      </c>
      <c r="D39" s="20">
        <v>570.15599999999995</v>
      </c>
      <c r="E39" s="9">
        <v>0</v>
      </c>
      <c r="F39" s="9">
        <f t="shared" si="1"/>
        <v>-2850.8440000000001</v>
      </c>
    </row>
    <row r="40" spans="1:7" ht="14.25" customHeight="1">
      <c r="A40" s="16">
        <v>2020100310</v>
      </c>
      <c r="B40" s="17" t="s">
        <v>227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227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12">
        <f>834.51+1131.4</f>
        <v>1965.91</v>
      </c>
      <c r="D42" s="10">
        <v>85.924000000000007</v>
      </c>
      <c r="E42" s="9">
        <f t="shared" si="0"/>
        <v>4.3706985569024015</v>
      </c>
      <c r="F42" s="9">
        <f t="shared" si="1"/>
        <v>-1879.9860000000001</v>
      </c>
    </row>
    <row r="43" spans="1:7" ht="17.25" customHeight="1">
      <c r="A43" s="16">
        <v>2023000000</v>
      </c>
      <c r="B43" s="17" t="s">
        <v>20</v>
      </c>
      <c r="C43" s="12">
        <v>183.38800000000001</v>
      </c>
      <c r="D43" s="187">
        <v>29.866599999999998</v>
      </c>
      <c r="E43" s="9">
        <f t="shared" si="0"/>
        <v>16.286016533251903</v>
      </c>
      <c r="F43" s="9">
        <f t="shared" si="1"/>
        <v>-153.5214</v>
      </c>
    </row>
    <row r="44" spans="1:7" ht="18" hidden="1" customHeight="1">
      <c r="A44" s="16">
        <v>2020400000</v>
      </c>
      <c r="B44" s="17" t="s">
        <v>21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22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287</v>
      </c>
      <c r="C46" s="191">
        <f>C47</f>
        <v>0</v>
      </c>
      <c r="D46" s="243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286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23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35.25" hidden="1" customHeight="1">
      <c r="A49" s="3">
        <v>3000000000</v>
      </c>
      <c r="B49" s="13" t="s">
        <v>24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7">
        <v>2020400000</v>
      </c>
      <c r="B50" s="8" t="s">
        <v>21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288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25</v>
      </c>
      <c r="C52" s="93">
        <f>C37+C38</f>
        <v>6772.7280000000001</v>
      </c>
      <c r="D52" s="93">
        <f>D37+D38</f>
        <v>888.04887999999983</v>
      </c>
      <c r="E52" s="5">
        <f t="shared" si="0"/>
        <v>13.112129706080028</v>
      </c>
      <c r="F52" s="5">
        <f t="shared" si="1"/>
        <v>-5884.6791200000007</v>
      </c>
      <c r="G52" s="94"/>
      <c r="H52" s="200"/>
    </row>
    <row r="53" spans="1:8" s="6" customFormat="1">
      <c r="A53" s="3"/>
      <c r="B53" s="21" t="s">
        <v>306</v>
      </c>
      <c r="C53" s="93">
        <f>C52-C99</f>
        <v>0</v>
      </c>
      <c r="D53" s="93">
        <f>D52-D99</f>
        <v>140.76915999999983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26</v>
      </c>
      <c r="C55" s="72" t="s">
        <v>402</v>
      </c>
      <c r="D55" s="73" t="s">
        <v>422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27</v>
      </c>
      <c r="B57" s="31" t="s">
        <v>28</v>
      </c>
      <c r="C57" s="32">
        <f>C58+C59+C60+C61+C62+C64+C63</f>
        <v>1382.8620000000001</v>
      </c>
      <c r="D57" s="33">
        <f>D58+D59+D60+D61+D62+D64+D63</f>
        <v>192.57861</v>
      </c>
      <c r="E57" s="34">
        <f>SUM(D57/C57*100)</f>
        <v>13.926090238939242</v>
      </c>
      <c r="F57" s="34">
        <f>SUM(D57-C57)</f>
        <v>-1190.2833900000001</v>
      </c>
    </row>
    <row r="58" spans="1:8" s="6" customFormat="1" ht="16.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8" ht="15" customHeight="1">
      <c r="A59" s="35" t="s">
        <v>31</v>
      </c>
      <c r="B59" s="39" t="s">
        <v>32</v>
      </c>
      <c r="C59" s="37">
        <v>1339.662</v>
      </c>
      <c r="D59" s="37">
        <v>192.57861</v>
      </c>
      <c r="E59" s="38">
        <f t="shared" ref="E59:E99" si="3">SUM(D59/C59*100)</f>
        <v>14.375164033913032</v>
      </c>
      <c r="F59" s="38">
        <f t="shared" ref="F59:F99" si="4">SUM(D59-C59)</f>
        <v>-1147.08339</v>
      </c>
    </row>
    <row r="60" spans="1:8" ht="15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18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34</v>
      </c>
      <c r="D62" s="37">
        <v>0</v>
      </c>
      <c r="E62" s="38">
        <f t="shared" si="3"/>
        <v>0</v>
      </c>
      <c r="F62" s="38">
        <f t="shared" si="4"/>
        <v>-34</v>
      </c>
    </row>
    <row r="63" spans="1:8" ht="16.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37">
        <v>4.2</v>
      </c>
      <c r="D64" s="37">
        <v>0</v>
      </c>
      <c r="E64" s="38">
        <f t="shared" si="3"/>
        <v>0</v>
      </c>
      <c r="F64" s="38">
        <f t="shared" si="4"/>
        <v>-4.2</v>
      </c>
    </row>
    <row r="65" spans="1:7" s="6" customFormat="1" ht="15" customHeight="1">
      <c r="A65" s="41" t="s">
        <v>43</v>
      </c>
      <c r="B65" s="42" t="s">
        <v>44</v>
      </c>
      <c r="C65" s="32">
        <f>C66</f>
        <v>179.208</v>
      </c>
      <c r="D65" s="32">
        <f>D66</f>
        <v>19.795000000000002</v>
      </c>
      <c r="E65" s="34">
        <f t="shared" si="3"/>
        <v>11.045823847149681</v>
      </c>
      <c r="F65" s="34">
        <f t="shared" si="4"/>
        <v>-159.41300000000001</v>
      </c>
    </row>
    <row r="66" spans="1:7">
      <c r="A66" s="43" t="s">
        <v>45</v>
      </c>
      <c r="B66" s="44" t="s">
        <v>46</v>
      </c>
      <c r="C66" s="37">
        <v>179.208</v>
      </c>
      <c r="D66" s="37">
        <v>19.795000000000002</v>
      </c>
      <c r="E66" s="38">
        <f t="shared" si="3"/>
        <v>11.045823847149681</v>
      </c>
      <c r="F66" s="38">
        <f t="shared" si="4"/>
        <v>-159.41300000000001</v>
      </c>
    </row>
    <row r="67" spans="1:7" s="6" customFormat="1" ht="16.5" customHeight="1">
      <c r="A67" s="30" t="s">
        <v>47</v>
      </c>
      <c r="B67" s="31" t="s">
        <v>48</v>
      </c>
      <c r="C67" s="32">
        <f>C70+C71+C72</f>
        <v>12</v>
      </c>
      <c r="D67" s="32">
        <f>SUM(D70+D71+D72)</f>
        <v>1.5</v>
      </c>
      <c r="E67" s="34">
        <f t="shared" si="3"/>
        <v>12.5</v>
      </c>
      <c r="F67" s="34">
        <f t="shared" si="4"/>
        <v>-10.5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214</v>
      </c>
      <c r="B71" s="47" t="s">
        <v>215</v>
      </c>
      <c r="C71" s="37">
        <v>8</v>
      </c>
      <c r="D71" s="37">
        <v>1.5</v>
      </c>
      <c r="E71" s="34">
        <f t="shared" si="3"/>
        <v>18.75</v>
      </c>
      <c r="F71" s="34">
        <f t="shared" si="4"/>
        <v>-6.5</v>
      </c>
    </row>
    <row r="72" spans="1:7" ht="15.75" customHeight="1">
      <c r="A72" s="46" t="s">
        <v>339</v>
      </c>
      <c r="B72" s="47" t="s">
        <v>342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55</v>
      </c>
      <c r="B73" s="31" t="s">
        <v>56</v>
      </c>
      <c r="C73" s="48">
        <f>SUM(C74:C77)</f>
        <v>2091.8609999999999</v>
      </c>
      <c r="D73" s="48">
        <f>SUM(D74:D77)</f>
        <v>217.80199999999999</v>
      </c>
      <c r="E73" s="34">
        <f t="shared" si="3"/>
        <v>10.411877271004144</v>
      </c>
      <c r="F73" s="34">
        <f t="shared" si="4"/>
        <v>-1874.059</v>
      </c>
    </row>
    <row r="74" spans="1:7" ht="17.2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9.5" customHeight="1">
      <c r="A75" s="35" t="s">
        <v>59</v>
      </c>
      <c r="B75" s="39" t="s">
        <v>60</v>
      </c>
      <c r="C75" s="49">
        <v>100</v>
      </c>
      <c r="D75" s="37">
        <v>0</v>
      </c>
      <c r="E75" s="38">
        <f t="shared" si="3"/>
        <v>0</v>
      </c>
      <c r="F75" s="38">
        <f t="shared" si="4"/>
        <v>-100</v>
      </c>
      <c r="G75" s="50"/>
    </row>
    <row r="76" spans="1:7">
      <c r="A76" s="35" t="s">
        <v>61</v>
      </c>
      <c r="B76" s="39" t="s">
        <v>62</v>
      </c>
      <c r="C76" s="49">
        <v>1981.84</v>
      </c>
      <c r="D76" s="37">
        <v>217.80199999999999</v>
      </c>
      <c r="E76" s="38">
        <f t="shared" si="3"/>
        <v>10.989888184717232</v>
      </c>
      <c r="F76" s="38">
        <f t="shared" si="4"/>
        <v>-1764.038</v>
      </c>
    </row>
    <row r="77" spans="1:7">
      <c r="A77" s="35" t="s">
        <v>63</v>
      </c>
      <c r="B77" s="39" t="s">
        <v>64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4.25" customHeight="1">
      <c r="A78" s="30" t="s">
        <v>65</v>
      </c>
      <c r="B78" s="31" t="s">
        <v>66</v>
      </c>
      <c r="C78" s="32">
        <f>SUM(C79:C81)</f>
        <v>1002.797</v>
      </c>
      <c r="D78" s="32">
        <f>SUM(D79:D81)</f>
        <v>0</v>
      </c>
      <c r="E78" s="34">
        <f t="shared" si="3"/>
        <v>0</v>
      </c>
      <c r="F78" s="34">
        <f t="shared" si="4"/>
        <v>-1002.797</v>
      </c>
    </row>
    <row r="79" spans="1:7" ht="16.5" hidden="1" customHeight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hidden="1" customHeight="1">
      <c r="A80" s="35" t="s">
        <v>69</v>
      </c>
      <c r="B80" s="51" t="s">
        <v>70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1002.797</v>
      </c>
      <c r="D81" s="37">
        <v>0</v>
      </c>
      <c r="E81" s="38">
        <f t="shared" si="3"/>
        <v>0</v>
      </c>
      <c r="F81" s="38">
        <f t="shared" si="4"/>
        <v>-1002.797</v>
      </c>
    </row>
    <row r="82" spans="1:6" s="6" customFormat="1">
      <c r="A82" s="30" t="s">
        <v>83</v>
      </c>
      <c r="B82" s="31" t="s">
        <v>84</v>
      </c>
      <c r="C82" s="32">
        <f>C83</f>
        <v>2102</v>
      </c>
      <c r="D82" s="32">
        <f>SUM(D83)</f>
        <v>315.60410999999999</v>
      </c>
      <c r="E82" s="34">
        <f t="shared" si="3"/>
        <v>15.014467649857277</v>
      </c>
      <c r="F82" s="34">
        <f t="shared" si="4"/>
        <v>-1786.39589</v>
      </c>
    </row>
    <row r="83" spans="1:6" ht="15" customHeight="1">
      <c r="A83" s="35" t="s">
        <v>85</v>
      </c>
      <c r="B83" s="39" t="s">
        <v>229</v>
      </c>
      <c r="C83" s="37">
        <v>2102</v>
      </c>
      <c r="D83" s="37">
        <v>315.60410999999999</v>
      </c>
      <c r="E83" s="38">
        <f t="shared" si="3"/>
        <v>15.014467649857277</v>
      </c>
      <c r="F83" s="38">
        <f t="shared" si="4"/>
        <v>-1786.39589</v>
      </c>
    </row>
    <row r="84" spans="1:6" s="6" customFormat="1" ht="15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</f>
        <v>2</v>
      </c>
      <c r="D89" s="32">
        <f>D90+D91+D92+D93+D94</f>
        <v>0</v>
      </c>
      <c r="E89" s="38"/>
      <c r="F89" s="22">
        <f>F90+F91+F92+F93+F94</f>
        <v>-2</v>
      </c>
    </row>
    <row r="90" spans="1:6" ht="16.5" customHeight="1">
      <c r="A90" s="35" t="s">
        <v>94</v>
      </c>
      <c r="B90" s="39" t="s">
        <v>95</v>
      </c>
      <c r="C90" s="37">
        <v>2</v>
      </c>
      <c r="D90" s="37">
        <v>0</v>
      </c>
      <c r="E90" s="38"/>
      <c r="F90" s="38">
        <f>SUM(D90-C90)</f>
        <v>-2</v>
      </c>
    </row>
    <row r="91" spans="1:6" ht="1.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112</v>
      </c>
      <c r="C95" s="48">
        <f>C96+C97+C98</f>
        <v>0</v>
      </c>
      <c r="D95" s="177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115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116</v>
      </c>
      <c r="C99" s="466">
        <f>C57+C65+C67+C73+C78+C82+C89+C84</f>
        <v>6772.7280000000001</v>
      </c>
      <c r="D99" s="466">
        <f>D57+D65+D67+D73+D78+D82+D89+D84</f>
        <v>747.27972</v>
      </c>
      <c r="E99" s="34">
        <f t="shared" si="3"/>
        <v>11.033659110479558</v>
      </c>
      <c r="F99" s="34">
        <f t="shared" si="4"/>
        <v>-6025.4482800000005</v>
      </c>
    </row>
    <row r="100" spans="1:6">
      <c r="D100" s="181"/>
    </row>
    <row r="101" spans="1:6" s="65" customFormat="1" ht="18" customHeight="1">
      <c r="A101" s="63" t="s">
        <v>117</v>
      </c>
      <c r="B101" s="63"/>
      <c r="C101" s="131"/>
      <c r="D101" s="64"/>
      <c r="E101" s="64"/>
    </row>
    <row r="102" spans="1:6" s="65" customFormat="1" ht="12.75">
      <c r="A102" s="66" t="s">
        <v>118</v>
      </c>
      <c r="B102" s="66"/>
      <c r="C102" s="65" t="s">
        <v>119</v>
      </c>
    </row>
    <row r="103" spans="1:6">
      <c r="C103" s="120"/>
    </row>
    <row r="142" hidden="1"/>
  </sheetData>
  <customSheetViews>
    <customSheetView guid="{B30CE22D-C12F-4E12-8BB9-3AAE0A6991CC}" scale="70" showPageBreaks="1" printArea="1" hiddenRows="1" view="pageBreakPreview" topLeftCell="A34">
      <selection activeCell="E77" sqref="E7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2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>
      <selection activeCell="C99" sqref="C9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54" zoomScale="70" zoomScaleNormal="100" zoomScaleSheetLayoutView="70" workbookViewId="0">
      <selection activeCell="F70" sqref="F7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16" t="s">
        <v>424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54.75" customHeight="1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2500.96</v>
      </c>
      <c r="D4" s="5">
        <f>D5+D12+D14+D17+D7</f>
        <v>303.40075999999999</v>
      </c>
      <c r="E4" s="5">
        <f>SUM(D4/C4*100)</f>
        <v>12.131371953169982</v>
      </c>
      <c r="F4" s="5">
        <f>SUM(D4-C4)</f>
        <v>-2197.55924</v>
      </c>
    </row>
    <row r="5" spans="1:6" s="6" customFormat="1">
      <c r="A5" s="68">
        <v>1010000000</v>
      </c>
      <c r="B5" s="67" t="s">
        <v>5</v>
      </c>
      <c r="C5" s="5">
        <f>C6</f>
        <v>114.5</v>
      </c>
      <c r="D5" s="5">
        <f>D6</f>
        <v>27.518229999999999</v>
      </c>
      <c r="E5" s="5">
        <f t="shared" ref="E5:E52" si="0">SUM(D5/C5*100)</f>
        <v>24.033388646288209</v>
      </c>
      <c r="F5" s="5">
        <f t="shared" ref="F5:F52" si="1">SUM(D5-C5)</f>
        <v>-86.981769999999997</v>
      </c>
    </row>
    <row r="6" spans="1:6">
      <c r="A6" s="7">
        <v>1010200001</v>
      </c>
      <c r="B6" s="8" t="s">
        <v>224</v>
      </c>
      <c r="C6" s="9">
        <v>114.5</v>
      </c>
      <c r="D6" s="10">
        <v>27.518229999999999</v>
      </c>
      <c r="E6" s="9">
        <f t="shared" ref="E6:E11" si="2">SUM(D6/C6*100)</f>
        <v>24.033388646288209</v>
      </c>
      <c r="F6" s="9">
        <f t="shared" si="1"/>
        <v>-86.981769999999997</v>
      </c>
    </row>
    <row r="7" spans="1:6" ht="31.5">
      <c r="A7" s="3">
        <v>1030000000</v>
      </c>
      <c r="B7" s="13" t="s">
        <v>266</v>
      </c>
      <c r="C7" s="5">
        <f>C8+C10+C9</f>
        <v>856.45999999999992</v>
      </c>
      <c r="D7" s="5">
        <f>D8+D10+D9+D11</f>
        <v>134.56636999999998</v>
      </c>
      <c r="E7" s="5">
        <f t="shared" si="2"/>
        <v>15.711927001844803</v>
      </c>
      <c r="F7" s="5">
        <f t="shared" si="1"/>
        <v>-721.89362999999992</v>
      </c>
    </row>
    <row r="8" spans="1:6">
      <c r="A8" s="7">
        <v>1030223001</v>
      </c>
      <c r="B8" s="8" t="s">
        <v>268</v>
      </c>
      <c r="C8" s="9">
        <v>319.45999999999998</v>
      </c>
      <c r="D8" s="10">
        <v>60.007980000000003</v>
      </c>
      <c r="E8" s="9">
        <f t="shared" si="2"/>
        <v>18.784192074125087</v>
      </c>
      <c r="F8" s="9">
        <f t="shared" si="1"/>
        <v>-259.45201999999995</v>
      </c>
    </row>
    <row r="9" spans="1:6">
      <c r="A9" s="7">
        <v>1030224001</v>
      </c>
      <c r="B9" s="8" t="s">
        <v>274</v>
      </c>
      <c r="C9" s="9">
        <v>3.43</v>
      </c>
      <c r="D9" s="10">
        <v>0.37607000000000002</v>
      </c>
      <c r="E9" s="9">
        <f t="shared" si="2"/>
        <v>10.964139941690961</v>
      </c>
      <c r="F9" s="9">
        <f t="shared" si="1"/>
        <v>-3.0539300000000003</v>
      </c>
    </row>
    <row r="10" spans="1:6">
      <c r="A10" s="7">
        <v>1030225001</v>
      </c>
      <c r="B10" s="8" t="s">
        <v>267</v>
      </c>
      <c r="C10" s="9">
        <v>533.57000000000005</v>
      </c>
      <c r="D10" s="10">
        <v>85.897530000000003</v>
      </c>
      <c r="E10" s="9">
        <f t="shared" si="2"/>
        <v>16.098643102123429</v>
      </c>
      <c r="F10" s="9">
        <f>SUM(D10-C10)</f>
        <v>-447.67247000000003</v>
      </c>
    </row>
    <row r="11" spans="1:6">
      <c r="A11" s="7">
        <v>1030226001</v>
      </c>
      <c r="B11" s="8" t="s">
        <v>276</v>
      </c>
      <c r="C11" s="9">
        <v>0</v>
      </c>
      <c r="D11" s="10">
        <v>-11.715210000000001</v>
      </c>
      <c r="E11" s="9" t="e">
        <f t="shared" si="2"/>
        <v>#DIV/0!</v>
      </c>
      <c r="F11" s="9">
        <f>SUM(D11-C11)</f>
        <v>-11.715210000000001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2.8584000000000001</v>
      </c>
      <c r="E12" s="5">
        <f t="shared" si="0"/>
        <v>14.292</v>
      </c>
      <c r="F12" s="5">
        <f t="shared" si="1"/>
        <v>-17.1416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2.8584000000000001</v>
      </c>
      <c r="E13" s="9">
        <f t="shared" si="0"/>
        <v>14.292</v>
      </c>
      <c r="F13" s="9">
        <f t="shared" si="1"/>
        <v>-17.1416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1495</v>
      </c>
      <c r="D14" s="5">
        <f>D15+D16</f>
        <v>138.45776000000001</v>
      </c>
      <c r="E14" s="5">
        <f t="shared" si="0"/>
        <v>9.2613886287625427</v>
      </c>
      <c r="F14" s="5">
        <f t="shared" si="1"/>
        <v>-1356.54224</v>
      </c>
    </row>
    <row r="15" spans="1:6" s="6" customFormat="1" ht="15.75" customHeight="1">
      <c r="A15" s="7">
        <v>1060100000</v>
      </c>
      <c r="B15" s="11" t="s">
        <v>8</v>
      </c>
      <c r="C15" s="9">
        <v>245</v>
      </c>
      <c r="D15" s="10">
        <v>26.41508</v>
      </c>
      <c r="E15" s="9">
        <f t="shared" si="0"/>
        <v>10.781665306122449</v>
      </c>
      <c r="F15" s="9">
        <f>SUM(D15-C15)</f>
        <v>-218.58492000000001</v>
      </c>
    </row>
    <row r="16" spans="1:6" ht="15.75" customHeight="1">
      <c r="A16" s="7">
        <v>1060600000</v>
      </c>
      <c r="B16" s="11" t="s">
        <v>7</v>
      </c>
      <c r="C16" s="9">
        <v>1250</v>
      </c>
      <c r="D16" s="10">
        <v>112.04268</v>
      </c>
      <c r="E16" s="9">
        <f t="shared" si="0"/>
        <v>8.9634143999999996</v>
      </c>
      <c r="F16" s="9">
        <f t="shared" si="1"/>
        <v>-1137.95732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0</v>
      </c>
      <c r="E17" s="5">
        <f t="shared" si="0"/>
        <v>0</v>
      </c>
      <c r="F17" s="5">
        <f t="shared" si="1"/>
        <v>-15</v>
      </c>
    </row>
    <row r="18" spans="1:6" ht="18" customHeight="1">
      <c r="A18" s="7">
        <v>1080400001</v>
      </c>
      <c r="B18" s="8" t="s">
        <v>223</v>
      </c>
      <c r="C18" s="9">
        <v>15</v>
      </c>
      <c r="D18" s="10">
        <v>0</v>
      </c>
      <c r="E18" s="9">
        <f t="shared" si="0"/>
        <v>0</v>
      </c>
      <c r="F18" s="9">
        <f t="shared" si="1"/>
        <v>-15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30</v>
      </c>
      <c r="D25" s="5">
        <f>D30+D37+D26+D35</f>
        <v>6.7556000000000003</v>
      </c>
      <c r="E25" s="5">
        <f t="shared" si="0"/>
        <v>22.518666666666668</v>
      </c>
      <c r="F25" s="5">
        <f t="shared" si="1"/>
        <v>-23.244399999999999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30</v>
      </c>
      <c r="D26" s="5">
        <f>D27+D28</f>
        <v>6.7556000000000003</v>
      </c>
      <c r="E26" s="5">
        <f t="shared" si="0"/>
        <v>22.518666666666668</v>
      </c>
      <c r="F26" s="5">
        <f t="shared" si="1"/>
        <v>-23.244399999999999</v>
      </c>
    </row>
    <row r="27" spans="1:6" ht="15" customHeight="1">
      <c r="A27" s="16">
        <v>1110502510</v>
      </c>
      <c r="B27" s="17" t="s">
        <v>221</v>
      </c>
      <c r="C27" s="12">
        <v>30</v>
      </c>
      <c r="D27" s="10">
        <v>6.7556000000000003</v>
      </c>
      <c r="E27" s="9">
        <f t="shared" si="0"/>
        <v>22.518666666666668</v>
      </c>
      <c r="F27" s="9">
        <f t="shared" si="1"/>
        <v>-23.244399999999999</v>
      </c>
    </row>
    <row r="28" spans="1:6" ht="15.75" customHeight="1">
      <c r="A28" s="7">
        <v>1110503510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customHeight="1">
      <c r="A29" s="7">
        <v>1110532510</v>
      </c>
      <c r="B29" s="11" t="s">
        <v>341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7.25" customHeight="1">
      <c r="A31" s="7">
        <v>1130206005</v>
      </c>
      <c r="B31" s="8" t="s">
        <v>219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customHeight="1">
      <c r="A33" s="16">
        <v>1140200000</v>
      </c>
      <c r="B33" s="18" t="s">
        <v>217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240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7">
        <f>SUM(C4,C25)</f>
        <v>2530.96</v>
      </c>
      <c r="D40" s="127">
        <f>D4+D25</f>
        <v>310.15636000000001</v>
      </c>
      <c r="E40" s="5">
        <f t="shared" si="0"/>
        <v>12.254494737174827</v>
      </c>
      <c r="F40" s="5">
        <f t="shared" si="1"/>
        <v>-2220.8036400000001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4975.5869999999995</v>
      </c>
      <c r="D41" s="5">
        <f>D42+D44+D45+D47+D48+D49+D43+D51</f>
        <v>450.37560000000002</v>
      </c>
      <c r="E41" s="5">
        <f t="shared" si="0"/>
        <v>9.0517078688404009</v>
      </c>
      <c r="F41" s="5">
        <f t="shared" si="1"/>
        <v>-4525.2113999999992</v>
      </c>
      <c r="G41" s="19"/>
    </row>
    <row r="42" spans="1:7" ht="17.25" customHeight="1">
      <c r="A42" s="16">
        <v>2021000000</v>
      </c>
      <c r="B42" s="17" t="s">
        <v>18</v>
      </c>
      <c r="C42" s="12">
        <v>2004.7</v>
      </c>
      <c r="D42" s="255">
        <v>334.11</v>
      </c>
      <c r="E42" s="9">
        <f t="shared" si="0"/>
        <v>16.66633411483015</v>
      </c>
      <c r="F42" s="9">
        <f t="shared" si="1"/>
        <v>-1670.5900000000001</v>
      </c>
    </row>
    <row r="43" spans="1:7" ht="17.25" customHeight="1">
      <c r="A43" s="16">
        <v>2021500200</v>
      </c>
      <c r="B43" s="17" t="s">
        <v>227</v>
      </c>
      <c r="C43" s="256">
        <v>414</v>
      </c>
      <c r="D43" s="20">
        <v>0</v>
      </c>
      <c r="E43" s="9">
        <f t="shared" si="0"/>
        <v>0</v>
      </c>
      <c r="F43" s="9">
        <f t="shared" si="1"/>
        <v>-414</v>
      </c>
    </row>
    <row r="44" spans="1:7">
      <c r="A44" s="16">
        <v>2022000000</v>
      </c>
      <c r="B44" s="17" t="s">
        <v>19</v>
      </c>
      <c r="C44" s="12">
        <f>1320+1053.5</f>
        <v>2373.5</v>
      </c>
      <c r="D44" s="10">
        <v>86.399000000000001</v>
      </c>
      <c r="E44" s="9">
        <f t="shared" si="0"/>
        <v>3.6401516747419418</v>
      </c>
      <c r="F44" s="9">
        <f t="shared" si="1"/>
        <v>-2287.1010000000001</v>
      </c>
    </row>
    <row r="45" spans="1:7" ht="15.75" customHeight="1">
      <c r="A45" s="16">
        <v>2023000000</v>
      </c>
      <c r="B45" s="17" t="s">
        <v>20</v>
      </c>
      <c r="C45" s="12">
        <v>183.387</v>
      </c>
      <c r="D45" s="187">
        <v>29.866599999999998</v>
      </c>
      <c r="E45" s="9">
        <f t="shared" si="0"/>
        <v>16.286105340073178</v>
      </c>
      <c r="F45" s="9">
        <f t="shared" si="1"/>
        <v>-153.5204</v>
      </c>
    </row>
    <row r="46" spans="1:7" ht="15" hidden="1" customHeight="1">
      <c r="A46" s="16">
        <v>2070503010</v>
      </c>
      <c r="B46" s="17" t="s">
        <v>256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2020400000</v>
      </c>
      <c r="B47" s="17" t="s">
        <v>21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22.5" hidden="1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hidden="1" customHeight="1">
      <c r="A50" s="3">
        <v>3000000000</v>
      </c>
      <c r="B50" s="13" t="s">
        <v>24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288</v>
      </c>
      <c r="C51" s="219">
        <v>0</v>
      </c>
      <c r="D51" s="220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194">
        <f>SUM(C40,C41,C50)</f>
        <v>7506.5469999999996</v>
      </c>
      <c r="D52" s="468">
        <f>D40+D41</f>
        <v>760.53196000000003</v>
      </c>
      <c r="E52" s="5">
        <f t="shared" si="0"/>
        <v>10.131581937740483</v>
      </c>
      <c r="F52" s="5">
        <f t="shared" si="1"/>
        <v>-6746.0150399999993</v>
      </c>
      <c r="G52" s="94"/>
      <c r="H52" s="200"/>
    </row>
    <row r="53" spans="1:8" s="6" customFormat="1">
      <c r="A53" s="3"/>
      <c r="B53" s="21" t="s">
        <v>306</v>
      </c>
      <c r="C53" s="266">
        <f>C52-C99</f>
        <v>-167.00000000000091</v>
      </c>
      <c r="D53" s="266">
        <f>D52-D99</f>
        <v>66.936519999999973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402</v>
      </c>
      <c r="D55" s="73" t="s">
        <v>411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1574.202</v>
      </c>
      <c r="D57" s="33">
        <f>D58+D59+D60+D61+D62+D64+D63</f>
        <v>175.94698</v>
      </c>
      <c r="E57" s="34">
        <f>SUM(D57/C57*100)</f>
        <v>11.176899787956057</v>
      </c>
      <c r="F57" s="34">
        <f>SUM(D57-C57)</f>
        <v>-1398.2550200000001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1526.1</v>
      </c>
      <c r="D59" s="37">
        <v>175.94698</v>
      </c>
      <c r="E59" s="38">
        <f t="shared" ref="E59:E99" si="3">SUM(D59/C59*100)</f>
        <v>11.529190747657427</v>
      </c>
      <c r="F59" s="38">
        <f t="shared" ref="F59:F99" si="4">SUM(D59-C59)</f>
        <v>-1350.15302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39</v>
      </c>
      <c r="D62" s="37">
        <v>0</v>
      </c>
      <c r="E62" s="38">
        <f t="shared" si="3"/>
        <v>0</v>
      </c>
      <c r="F62" s="38">
        <f t="shared" si="4"/>
        <v>-39</v>
      </c>
    </row>
    <row r="63" spans="1:8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41</v>
      </c>
      <c r="B64" s="39" t="s">
        <v>42</v>
      </c>
      <c r="C64" s="37">
        <v>4.1020000000000003</v>
      </c>
      <c r="D64" s="37">
        <v>0</v>
      </c>
      <c r="E64" s="38">
        <f t="shared" si="3"/>
        <v>0</v>
      </c>
      <c r="F64" s="38">
        <f t="shared" si="4"/>
        <v>-4.1020000000000003</v>
      </c>
    </row>
    <row r="65" spans="1:7" s="6" customFormat="1">
      <c r="A65" s="41" t="s">
        <v>43</v>
      </c>
      <c r="B65" s="42" t="s">
        <v>44</v>
      </c>
      <c r="C65" s="32">
        <f>C66</f>
        <v>179.20699999999999</v>
      </c>
      <c r="D65" s="32">
        <f>D66</f>
        <v>20.593260000000001</v>
      </c>
      <c r="E65" s="34">
        <f t="shared" si="3"/>
        <v>11.491325673662303</v>
      </c>
      <c r="F65" s="34">
        <f t="shared" si="4"/>
        <v>-158.61374000000001</v>
      </c>
    </row>
    <row r="66" spans="1:7">
      <c r="A66" s="43" t="s">
        <v>45</v>
      </c>
      <c r="B66" s="44" t="s">
        <v>46</v>
      </c>
      <c r="C66" s="37">
        <v>179.20699999999999</v>
      </c>
      <c r="D66" s="37">
        <v>20.593260000000001</v>
      </c>
      <c r="E66" s="38">
        <f t="shared" si="3"/>
        <v>11.491325673662303</v>
      </c>
      <c r="F66" s="38">
        <f t="shared" si="4"/>
        <v>-158.61374000000001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12</v>
      </c>
      <c r="D67" s="32">
        <f>D71+D70+D72</f>
        <v>1</v>
      </c>
      <c r="E67" s="34">
        <f t="shared" si="3"/>
        <v>8.3333333333333321</v>
      </c>
      <c r="F67" s="34">
        <f t="shared" si="4"/>
        <v>-11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214</v>
      </c>
      <c r="B71" s="47" t="s">
        <v>215</v>
      </c>
      <c r="C71" s="37">
        <v>8</v>
      </c>
      <c r="D71" s="37">
        <v>1</v>
      </c>
      <c r="E71" s="34">
        <f t="shared" si="3"/>
        <v>12.5</v>
      </c>
      <c r="F71" s="34">
        <f t="shared" si="4"/>
        <v>-7</v>
      </c>
    </row>
    <row r="72" spans="1:7" ht="15.75" customHeight="1">
      <c r="A72" s="46" t="s">
        <v>339</v>
      </c>
      <c r="B72" s="47" t="s">
        <v>342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3493.9810000000002</v>
      </c>
      <c r="D73" s="48">
        <f>SUM(D74:D77)</f>
        <v>110.179</v>
      </c>
      <c r="E73" s="34">
        <f t="shared" si="3"/>
        <v>3.1533943659109762</v>
      </c>
      <c r="F73" s="34">
        <f t="shared" si="4"/>
        <v>-3383.8020000000001</v>
      </c>
    </row>
    <row r="74" spans="1:7" ht="16.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7.25" customHeight="1">
      <c r="A75" s="35" t="s">
        <v>59</v>
      </c>
      <c r="B75" s="39" t="s">
        <v>60</v>
      </c>
      <c r="C75" s="49">
        <v>224</v>
      </c>
      <c r="D75" s="37"/>
      <c r="E75" s="38">
        <f t="shared" si="3"/>
        <v>0</v>
      </c>
      <c r="F75" s="38">
        <f t="shared" si="4"/>
        <v>-224</v>
      </c>
      <c r="G75" s="50"/>
    </row>
    <row r="76" spans="1:7" ht="18" customHeight="1">
      <c r="A76" s="35" t="s">
        <v>61</v>
      </c>
      <c r="B76" s="39" t="s">
        <v>62</v>
      </c>
      <c r="C76" s="49">
        <v>3229.96</v>
      </c>
      <c r="D76" s="37">
        <v>103.679</v>
      </c>
      <c r="E76" s="38">
        <f t="shared" si="3"/>
        <v>3.209915912271359</v>
      </c>
      <c r="F76" s="38">
        <f t="shared" si="4"/>
        <v>-3126.2809999999999</v>
      </c>
    </row>
    <row r="77" spans="1:7">
      <c r="A77" s="35" t="s">
        <v>63</v>
      </c>
      <c r="B77" s="39" t="s">
        <v>64</v>
      </c>
      <c r="C77" s="49">
        <v>30</v>
      </c>
      <c r="D77" s="37">
        <v>6.5</v>
      </c>
      <c r="E77" s="38">
        <f t="shared" si="3"/>
        <v>21.666666666666668</v>
      </c>
      <c r="F77" s="38">
        <f t="shared" si="4"/>
        <v>-23.5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415.75700000000001</v>
      </c>
      <c r="D78" s="32">
        <f>SUM(D79:D81)</f>
        <v>53.714550000000003</v>
      </c>
      <c r="E78" s="34">
        <f t="shared" si="3"/>
        <v>12.919698285296461</v>
      </c>
      <c r="F78" s="34">
        <f t="shared" si="4"/>
        <v>-362.04245000000003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69</v>
      </c>
      <c r="B80" s="51" t="s">
        <v>70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71</v>
      </c>
      <c r="B81" s="39" t="s">
        <v>72</v>
      </c>
      <c r="C81" s="37">
        <v>415.75700000000001</v>
      </c>
      <c r="D81" s="37">
        <v>53.714550000000003</v>
      </c>
      <c r="E81" s="38">
        <f>SUM(D81/C81*100)</f>
        <v>12.919698285296461</v>
      </c>
      <c r="F81" s="38">
        <f t="shared" si="4"/>
        <v>-362.04245000000003</v>
      </c>
    </row>
    <row r="82" spans="1:6" s="6" customFormat="1">
      <c r="A82" s="30" t="s">
        <v>83</v>
      </c>
      <c r="B82" s="31" t="s">
        <v>84</v>
      </c>
      <c r="C82" s="32">
        <f>C83</f>
        <v>1946.4</v>
      </c>
      <c r="D82" s="32">
        <f>SUM(D83)</f>
        <v>324.96165000000002</v>
      </c>
      <c r="E82" s="34">
        <f t="shared" si="3"/>
        <v>16.695522503082614</v>
      </c>
      <c r="F82" s="34">
        <f t="shared" si="4"/>
        <v>-1621.4383500000001</v>
      </c>
    </row>
    <row r="83" spans="1:6" ht="18.75" customHeight="1">
      <c r="A83" s="35" t="s">
        <v>85</v>
      </c>
      <c r="B83" s="39" t="s">
        <v>229</v>
      </c>
      <c r="C83" s="37">
        <v>1946.4</v>
      </c>
      <c r="D83" s="37">
        <v>324.96165000000002</v>
      </c>
      <c r="E83" s="38">
        <f t="shared" si="3"/>
        <v>16.695522503082614</v>
      </c>
      <c r="F83" s="38">
        <f t="shared" si="4"/>
        <v>-1621.4383500000001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52</v>
      </c>
      <c r="D89" s="32">
        <f>D90+D91+D92+D93+D94</f>
        <v>7.2</v>
      </c>
      <c r="E89" s="38">
        <f t="shared" si="3"/>
        <v>13.846153846153847</v>
      </c>
      <c r="F89" s="22">
        <f>F90+F91+F92+F93+F94</f>
        <v>-44.8</v>
      </c>
    </row>
    <row r="90" spans="1:6" ht="17.25" customHeight="1">
      <c r="A90" s="35" t="s">
        <v>94</v>
      </c>
      <c r="B90" s="39" t="s">
        <v>95</v>
      </c>
      <c r="C90" s="37">
        <v>52</v>
      </c>
      <c r="D90" s="37">
        <v>7.2</v>
      </c>
      <c r="E90" s="38">
        <f t="shared" si="3"/>
        <v>13.846153846153847</v>
      </c>
      <c r="F90" s="38">
        <f>SUM(D90-C90)</f>
        <v>-44.8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33">
        <f>C57+C65+C67+C73+C78+C82+C84+C89+C95</f>
        <v>7673.5470000000005</v>
      </c>
      <c r="D99" s="33">
        <f>D57+D65+D67+D73+D78+D82+D84+D89+D95</f>
        <v>693.59544000000005</v>
      </c>
      <c r="E99" s="34">
        <f t="shared" si="3"/>
        <v>9.0387853231367465</v>
      </c>
      <c r="F99" s="34">
        <f t="shared" si="4"/>
        <v>-6979.9515600000004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117</v>
      </c>
      <c r="B101" s="63"/>
      <c r="C101" s="134"/>
      <c r="D101" s="134"/>
    </row>
    <row r="102" spans="1:8" s="65" customFormat="1" ht="12.75">
      <c r="A102" s="66" t="s">
        <v>118</v>
      </c>
      <c r="B102" s="66"/>
      <c r="C102" s="119" t="s">
        <v>119</v>
      </c>
    </row>
    <row r="104" spans="1:8" ht="5.25" customHeight="1"/>
    <row r="143" hidden="1"/>
  </sheetData>
  <customSheetViews>
    <customSheetView guid="{B30CE22D-C12F-4E12-8BB9-3AAE0A6991CC}" scale="70" showPageBreaks="1" printArea="1" hiddenRows="1" view="pageBreakPreview" topLeftCell="A54">
      <selection activeCell="F70" sqref="F70"/>
      <pageMargins left="0.70866141732283472" right="0.70866141732283472" top="0.74803149606299213" bottom="0.74803149606299213" header="0.31496062992125984" footer="0.31496062992125984"/>
      <pageSetup paperSize="9" scale="51" orientation="portrait" r:id="rId1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2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printArea="1" hiddenRows="1" view="pageBreakPreview">
      <selection activeCell="D56" sqref="D56"/>
      <pageMargins left="0.70866141732283472" right="0.70866141732283472" top="0.74803149606299213" bottom="0.74803149606299213" header="0.31496062992125984" footer="0.31496062992125984"/>
      <pageSetup paperSize="9" scale="5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32" zoomScale="70" zoomScaleNormal="100" zoomScaleSheetLayoutView="70" workbookViewId="0">
      <selection activeCell="F67" sqref="F6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16" t="s">
        <v>426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47.25" customHeight="1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1998.04</v>
      </c>
      <c r="D4" s="5">
        <f>D5+D12+D14+D17+D7</f>
        <v>164.81768999999997</v>
      </c>
      <c r="E4" s="5">
        <f>SUM(D4/C4*100)</f>
        <v>8.2489684891193367</v>
      </c>
      <c r="F4" s="5">
        <f>SUM(D4-C4)</f>
        <v>-1833.2223100000001</v>
      </c>
    </row>
    <row r="5" spans="1:6" s="6" customFormat="1">
      <c r="A5" s="3">
        <v>1010000000</v>
      </c>
      <c r="B5" s="4" t="s">
        <v>5</v>
      </c>
      <c r="C5" s="5">
        <f>C6</f>
        <v>111</v>
      </c>
      <c r="D5" s="5">
        <f>D6</f>
        <v>17.826239999999999</v>
      </c>
      <c r="E5" s="5">
        <f t="shared" ref="E5:E48" si="0">SUM(D5/C5*100)</f>
        <v>16.059675675675674</v>
      </c>
      <c r="F5" s="5">
        <f t="shared" ref="F5:F48" si="1">SUM(D5-C5)</f>
        <v>-93.173760000000001</v>
      </c>
    </row>
    <row r="6" spans="1:6">
      <c r="A6" s="7">
        <v>1010200001</v>
      </c>
      <c r="B6" s="8" t="s">
        <v>224</v>
      </c>
      <c r="C6" s="9">
        <v>111</v>
      </c>
      <c r="D6" s="10">
        <v>17.826239999999999</v>
      </c>
      <c r="E6" s="9">
        <f t="shared" ref="E6:E11" si="2">SUM(D6/C6*100)</f>
        <v>16.059675675675674</v>
      </c>
      <c r="F6" s="9">
        <f t="shared" si="1"/>
        <v>-93.173760000000001</v>
      </c>
    </row>
    <row r="7" spans="1:6" ht="31.5">
      <c r="A7" s="3">
        <v>1030000000</v>
      </c>
      <c r="B7" s="13" t="s">
        <v>266</v>
      </c>
      <c r="C7" s="5">
        <f>C8+C10+C9</f>
        <v>493.04000000000008</v>
      </c>
      <c r="D7" s="5">
        <f>D8+D10+D9+D11</f>
        <v>77.465479999999985</v>
      </c>
      <c r="E7" s="5">
        <f t="shared" si="2"/>
        <v>15.711804316079824</v>
      </c>
      <c r="F7" s="5">
        <f t="shared" si="1"/>
        <v>-415.57452000000012</v>
      </c>
    </row>
    <row r="8" spans="1:6">
      <c r="A8" s="7">
        <v>1030223001</v>
      </c>
      <c r="B8" s="8" t="s">
        <v>268</v>
      </c>
      <c r="C8" s="9">
        <v>183.91</v>
      </c>
      <c r="D8" s="10">
        <v>34.544640000000001</v>
      </c>
      <c r="E8" s="9">
        <f t="shared" si="2"/>
        <v>18.783448425860477</v>
      </c>
      <c r="F8" s="9">
        <f t="shared" si="1"/>
        <v>-149.36536000000001</v>
      </c>
    </row>
    <row r="9" spans="1:6">
      <c r="A9" s="7">
        <v>1030224001</v>
      </c>
      <c r="B9" s="8" t="s">
        <v>274</v>
      </c>
      <c r="C9" s="9">
        <v>1.97</v>
      </c>
      <c r="D9" s="10">
        <v>0.21648999999999999</v>
      </c>
      <c r="E9" s="9">
        <f t="shared" si="2"/>
        <v>10.989340101522842</v>
      </c>
      <c r="F9" s="9">
        <f t="shared" si="1"/>
        <v>-1.7535099999999999</v>
      </c>
    </row>
    <row r="10" spans="1:6">
      <c r="A10" s="7">
        <v>1030225001</v>
      </c>
      <c r="B10" s="8" t="s">
        <v>267</v>
      </c>
      <c r="C10" s="9">
        <v>307.16000000000003</v>
      </c>
      <c r="D10" s="10">
        <v>49.448439999999998</v>
      </c>
      <c r="E10" s="9">
        <f t="shared" si="2"/>
        <v>16.098593566870683</v>
      </c>
      <c r="F10" s="9">
        <f t="shared" si="1"/>
        <v>-257.71156000000002</v>
      </c>
    </row>
    <row r="11" spans="1:6">
      <c r="A11" s="7">
        <v>1030226001</v>
      </c>
      <c r="B11" s="8" t="s">
        <v>276</v>
      </c>
      <c r="C11" s="9">
        <v>0</v>
      </c>
      <c r="D11" s="10">
        <v>-6.7440899999999999</v>
      </c>
      <c r="E11" s="9" t="e">
        <f t="shared" si="2"/>
        <v>#DIV/0!</v>
      </c>
      <c r="F11" s="9">
        <f t="shared" si="1"/>
        <v>-6.7440899999999999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1384</v>
      </c>
      <c r="D14" s="5">
        <f>D15+D16</f>
        <v>67.925970000000007</v>
      </c>
      <c r="E14" s="5">
        <f t="shared" si="0"/>
        <v>4.9079458092485551</v>
      </c>
      <c r="F14" s="5">
        <f t="shared" si="1"/>
        <v>-1316.07403</v>
      </c>
    </row>
    <row r="15" spans="1:6" s="6" customFormat="1" ht="15.75" customHeight="1">
      <c r="A15" s="7">
        <v>1060100000</v>
      </c>
      <c r="B15" s="11" t="s">
        <v>8</v>
      </c>
      <c r="C15" s="9">
        <v>470</v>
      </c>
      <c r="D15" s="10">
        <v>24.052070000000001</v>
      </c>
      <c r="E15" s="9">
        <f t="shared" si="0"/>
        <v>5.1174617021276596</v>
      </c>
      <c r="F15" s="9">
        <f>SUM(D15-C15)</f>
        <v>-445.94792999999999</v>
      </c>
    </row>
    <row r="16" spans="1:6" ht="15.75" customHeight="1">
      <c r="A16" s="7">
        <v>1060600000</v>
      </c>
      <c r="B16" s="11" t="s">
        <v>7</v>
      </c>
      <c r="C16" s="9">
        <v>914</v>
      </c>
      <c r="D16" s="10">
        <v>43.873899999999999</v>
      </c>
      <c r="E16" s="9">
        <f t="shared" si="0"/>
        <v>4.8002078774617072</v>
      </c>
      <c r="F16" s="9">
        <f t="shared" si="1"/>
        <v>-870.12609999999995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1.6</v>
      </c>
      <c r="E17" s="5">
        <f t="shared" si="0"/>
        <v>32</v>
      </c>
      <c r="F17" s="5">
        <f t="shared" si="1"/>
        <v>-3.4</v>
      </c>
    </row>
    <row r="18" spans="1:6">
      <c r="A18" s="7">
        <v>1080400001</v>
      </c>
      <c r="B18" s="8" t="s">
        <v>223</v>
      </c>
      <c r="C18" s="9">
        <v>5</v>
      </c>
      <c r="D18" s="10">
        <v>1.6</v>
      </c>
      <c r="E18" s="9">
        <f t="shared" si="0"/>
        <v>32</v>
      </c>
      <c r="F18" s="9">
        <f t="shared" si="1"/>
        <v>-3.4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230.6</v>
      </c>
      <c r="D25" s="5">
        <f>D26+D29+D31+D34</f>
        <v>122.26098</v>
      </c>
      <c r="E25" s="5">
        <f t="shared" si="0"/>
        <v>53.018638334778842</v>
      </c>
      <c r="F25" s="5">
        <f t="shared" si="1"/>
        <v>-108.33901999999999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230.6</v>
      </c>
      <c r="D26" s="5">
        <f>D27</f>
        <v>117.84098</v>
      </c>
      <c r="E26" s="5">
        <f t="shared" si="0"/>
        <v>51.101899392888114</v>
      </c>
      <c r="F26" s="5">
        <f t="shared" si="1"/>
        <v>-112.75901999999999</v>
      </c>
    </row>
    <row r="27" spans="1:6" ht="15" customHeight="1">
      <c r="A27" s="16">
        <v>1110502510</v>
      </c>
      <c r="B27" s="17" t="s">
        <v>221</v>
      </c>
      <c r="C27" s="12">
        <v>230.6</v>
      </c>
      <c r="D27" s="10">
        <v>117.84098</v>
      </c>
      <c r="E27" s="5">
        <f t="shared" si="0"/>
        <v>51.101899392888114</v>
      </c>
      <c r="F27" s="9">
        <f t="shared" si="1"/>
        <v>-112.75901999999999</v>
      </c>
    </row>
    <row r="28" spans="1:6" ht="19.5" hidden="1" customHeight="1">
      <c r="A28" s="7">
        <v>1110503505</v>
      </c>
      <c r="B28" s="11" t="s">
        <v>220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9">
        <v>1140000000</v>
      </c>
      <c r="B31" s="110" t="s">
        <v>129</v>
      </c>
      <c r="C31" s="5">
        <f>C33+C32</f>
        <v>0</v>
      </c>
      <c r="D31" s="5">
        <f>D33+D32</f>
        <v>4.42</v>
      </c>
      <c r="E31" s="5" t="e">
        <f t="shared" si="0"/>
        <v>#DIV/0!</v>
      </c>
      <c r="F31" s="5">
        <f t="shared" si="1"/>
        <v>4.42</v>
      </c>
    </row>
    <row r="32" spans="1:6" ht="14.25" customHeight="1">
      <c r="A32" s="16">
        <v>1140200000</v>
      </c>
      <c r="B32" s="18" t="s">
        <v>217</v>
      </c>
      <c r="C32" s="9">
        <v>0</v>
      </c>
      <c r="D32" s="10">
        <v>4.42</v>
      </c>
      <c r="E32" s="9" t="e">
        <f t="shared" si="0"/>
        <v>#DIV/0!</v>
      </c>
      <c r="F32" s="9">
        <f t="shared" si="1"/>
        <v>4.42</v>
      </c>
    </row>
    <row r="33" spans="1:8" ht="17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240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0.75" hidden="1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16</v>
      </c>
      <c r="C37" s="127">
        <f>SUM(C4,C25)</f>
        <v>2228.64</v>
      </c>
      <c r="D37" s="127">
        <f>D4+D25</f>
        <v>287.07866999999999</v>
      </c>
      <c r="E37" s="5">
        <f t="shared" si="0"/>
        <v>12.881338843420204</v>
      </c>
      <c r="F37" s="5">
        <f t="shared" si="1"/>
        <v>-1941.56133</v>
      </c>
    </row>
    <row r="38" spans="1:8" s="6" customFormat="1">
      <c r="A38" s="3">
        <v>2000000000</v>
      </c>
      <c r="B38" s="4" t="s">
        <v>17</v>
      </c>
      <c r="C38" s="5">
        <f>C39+C41+C42+C44+C45+C46+C40</f>
        <v>4265.3450000000003</v>
      </c>
      <c r="D38" s="5">
        <f>D39+D41+D42+D44+D45+D46+D40</f>
        <v>136.61539999999999</v>
      </c>
      <c r="E38" s="5">
        <f t="shared" si="0"/>
        <v>3.2029155906497597</v>
      </c>
      <c r="F38" s="5">
        <f t="shared" si="1"/>
        <v>-4128.7296000000006</v>
      </c>
      <c r="G38" s="19"/>
    </row>
    <row r="39" spans="1:8">
      <c r="A39" s="16">
        <v>2021000000</v>
      </c>
      <c r="B39" s="17" t="s">
        <v>18</v>
      </c>
      <c r="C39" s="12">
        <v>730.1</v>
      </c>
      <c r="D39" s="255">
        <v>121.682</v>
      </c>
      <c r="E39" s="9">
        <f t="shared" si="0"/>
        <v>16.666484043281741</v>
      </c>
      <c r="F39" s="9">
        <f t="shared" si="1"/>
        <v>-608.41800000000001</v>
      </c>
    </row>
    <row r="40" spans="1:8" ht="15.75" customHeight="1">
      <c r="A40" s="16">
        <v>2021500200</v>
      </c>
      <c r="B40" s="17" t="s">
        <v>227</v>
      </c>
      <c r="C40" s="12">
        <v>1220</v>
      </c>
      <c r="D40" s="20">
        <v>0</v>
      </c>
      <c r="E40" s="9">
        <f t="shared" si="0"/>
        <v>0</v>
      </c>
      <c r="F40" s="9">
        <f t="shared" si="1"/>
        <v>-1220</v>
      </c>
    </row>
    <row r="41" spans="1:8">
      <c r="A41" s="16">
        <v>2022000000</v>
      </c>
      <c r="B41" s="17" t="s">
        <v>19</v>
      </c>
      <c r="C41" s="12">
        <f>1145.971+1073.7</f>
        <v>2219.6710000000003</v>
      </c>
      <c r="D41" s="10">
        <v>0</v>
      </c>
      <c r="E41" s="9">
        <f t="shared" si="0"/>
        <v>0</v>
      </c>
      <c r="F41" s="9">
        <f t="shared" si="1"/>
        <v>-2219.6710000000003</v>
      </c>
    </row>
    <row r="42" spans="1:8" ht="13.5" customHeight="1">
      <c r="A42" s="16">
        <v>2023000000</v>
      </c>
      <c r="B42" s="17" t="s">
        <v>20</v>
      </c>
      <c r="C42" s="12">
        <v>95.573999999999998</v>
      </c>
      <c r="D42" s="187">
        <v>14.933400000000001</v>
      </c>
      <c r="E42" s="9">
        <f t="shared" si="0"/>
        <v>15.624960763387532</v>
      </c>
      <c r="F42" s="9">
        <f t="shared" si="1"/>
        <v>-80.640599999999992</v>
      </c>
    </row>
    <row r="43" spans="1:8" hidden="1">
      <c r="A43" s="16">
        <v>2070503010</v>
      </c>
      <c r="B43" s="17" t="s">
        <v>256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0</v>
      </c>
      <c r="D44" s="188">
        <v>0</v>
      </c>
      <c r="E44" s="9" t="e">
        <f t="shared" si="0"/>
        <v>#DIV/0!</v>
      </c>
      <c r="F44" s="9">
        <f t="shared" si="1"/>
        <v>0</v>
      </c>
    </row>
    <row r="45" spans="1:8" ht="18" customHeight="1">
      <c r="A45" s="16">
        <v>2070000000</v>
      </c>
      <c r="B45" s="18" t="s">
        <v>283</v>
      </c>
      <c r="C45" s="12">
        <v>0</v>
      </c>
      <c r="D45" s="188">
        <v>0</v>
      </c>
      <c r="E45" s="9" t="e">
        <f>SUM(D45/C45*100)</f>
        <v>#DIV/0!</v>
      </c>
      <c r="F45" s="9">
        <f t="shared" si="1"/>
        <v>0</v>
      </c>
      <c r="G45" s="247"/>
      <c r="H45" s="247"/>
    </row>
    <row r="46" spans="1:8" ht="15.75" customHeight="1">
      <c r="A46" s="7">
        <v>2190500005</v>
      </c>
      <c r="B46" s="11" t="s">
        <v>23</v>
      </c>
      <c r="C46" s="10">
        <v>0</v>
      </c>
      <c r="D46" s="10">
        <v>0</v>
      </c>
      <c r="E46" s="5" t="e">
        <f>SUM(D46/C46*100)</f>
        <v>#DIV/0!</v>
      </c>
      <c r="F46" s="5">
        <f>SUM(D46-C46)</f>
        <v>0</v>
      </c>
    </row>
    <row r="47" spans="1:8" s="6" customFormat="1" ht="31.5">
      <c r="A47" s="3">
        <v>3000000000</v>
      </c>
      <c r="B47" s="13" t="s">
        <v>24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69">
        <f>SUM(C37,C38,C47)</f>
        <v>6493.9850000000006</v>
      </c>
      <c r="D48" s="470">
        <f>D37+D38</f>
        <v>423.69407000000001</v>
      </c>
      <c r="E48" s="5">
        <f t="shared" si="0"/>
        <v>6.5244078943822625</v>
      </c>
      <c r="F48" s="5">
        <f t="shared" si="1"/>
        <v>-6070.290930000001</v>
      </c>
      <c r="G48" s="200"/>
      <c r="H48" s="200"/>
    </row>
    <row r="49" spans="1:6" s="6" customFormat="1">
      <c r="A49" s="3"/>
      <c r="B49" s="21" t="s">
        <v>306</v>
      </c>
      <c r="C49" s="93">
        <f>C48-C95</f>
        <v>0</v>
      </c>
      <c r="D49" s="93">
        <f>D48-D95</f>
        <v>111.02825000000001</v>
      </c>
      <c r="E49" s="22"/>
      <c r="F49" s="22"/>
    </row>
    <row r="50" spans="1:6" ht="8.25" customHeight="1">
      <c r="A50" s="23"/>
      <c r="B50" s="24"/>
      <c r="C50" s="218"/>
      <c r="D50" s="218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402</v>
      </c>
      <c r="D51" s="73" t="s">
        <v>411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1365.1229999999998</v>
      </c>
      <c r="D53" s="32">
        <f>D54+D55+D56+D57+D58+D60+D59</f>
        <v>127.20318</v>
      </c>
      <c r="E53" s="34">
        <f>SUM(D53/C53*100)</f>
        <v>9.3180746350328878</v>
      </c>
      <c r="F53" s="34">
        <f>SUM(D53-C53)</f>
        <v>-1237.9198199999998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1333.1</v>
      </c>
      <c r="D55" s="37">
        <v>127.20318</v>
      </c>
      <c r="E55" s="38">
        <f t="shared" ref="E55:E95" si="3">SUM(D55/C55*100)</f>
        <v>9.5419083339584425</v>
      </c>
      <c r="F55" s="38">
        <f t="shared" ref="F55:F95" si="4">SUM(D55-C55)</f>
        <v>-1205.8968199999999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>
        <v>24</v>
      </c>
      <c r="D58" s="37">
        <v>0</v>
      </c>
      <c r="E58" s="38">
        <f t="shared" si="3"/>
        <v>0</v>
      </c>
      <c r="F58" s="38">
        <f t="shared" si="4"/>
        <v>-24</v>
      </c>
    </row>
    <row r="59" spans="1:6" ht="13.5" customHeight="1">
      <c r="A59" s="35" t="s">
        <v>39</v>
      </c>
      <c r="B59" s="39" t="s">
        <v>40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41</v>
      </c>
      <c r="B60" s="39" t="s">
        <v>42</v>
      </c>
      <c r="C60" s="37">
        <v>3.0230000000000001</v>
      </c>
      <c r="D60" s="37">
        <v>0</v>
      </c>
      <c r="E60" s="38">
        <f t="shared" si="3"/>
        <v>0</v>
      </c>
      <c r="F60" s="38">
        <f t="shared" si="4"/>
        <v>-3.0230000000000001</v>
      </c>
    </row>
    <row r="61" spans="1:6" s="6" customFormat="1">
      <c r="A61" s="41" t="s">
        <v>43</v>
      </c>
      <c r="B61" s="42" t="s">
        <v>44</v>
      </c>
      <c r="C61" s="32">
        <f>C62</f>
        <v>89.603999999999999</v>
      </c>
      <c r="D61" s="32">
        <f>D62</f>
        <v>10.29664</v>
      </c>
      <c r="E61" s="34">
        <f t="shared" si="3"/>
        <v>11.491272711039686</v>
      </c>
      <c r="F61" s="34">
        <f t="shared" si="4"/>
        <v>-79.307360000000003</v>
      </c>
    </row>
    <row r="62" spans="1:6">
      <c r="A62" s="43" t="s">
        <v>45</v>
      </c>
      <c r="B62" s="44" t="s">
        <v>46</v>
      </c>
      <c r="C62" s="37">
        <v>89.603999999999999</v>
      </c>
      <c r="D62" s="37">
        <v>10.29664</v>
      </c>
      <c r="E62" s="38">
        <f t="shared" si="3"/>
        <v>11.491272711039686</v>
      </c>
      <c r="F62" s="38">
        <f t="shared" si="4"/>
        <v>-79.307360000000003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12</v>
      </c>
      <c r="D63" s="32">
        <f>D67+D66+D68</f>
        <v>1.5</v>
      </c>
      <c r="E63" s="34">
        <f t="shared" si="3"/>
        <v>12.5</v>
      </c>
      <c r="F63" s="34">
        <f t="shared" si="4"/>
        <v>-10.5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6">
        <v>2</v>
      </c>
      <c r="D66" s="37">
        <v>0</v>
      </c>
      <c r="E66" s="34">
        <f t="shared" si="3"/>
        <v>0</v>
      </c>
      <c r="F66" s="34">
        <f t="shared" si="4"/>
        <v>-2</v>
      </c>
    </row>
    <row r="67" spans="1:7" ht="15.75" customHeight="1">
      <c r="A67" s="46" t="s">
        <v>214</v>
      </c>
      <c r="B67" s="47" t="s">
        <v>215</v>
      </c>
      <c r="C67" s="37">
        <v>8</v>
      </c>
      <c r="D67" s="37">
        <v>1.5</v>
      </c>
      <c r="E67" s="34">
        <f t="shared" si="3"/>
        <v>18.75</v>
      </c>
      <c r="F67" s="34">
        <f t="shared" si="4"/>
        <v>-6.5</v>
      </c>
    </row>
    <row r="68" spans="1:7" ht="15.75" customHeight="1">
      <c r="A68" s="46" t="s">
        <v>339</v>
      </c>
      <c r="B68" s="47" t="s">
        <v>340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3627.027</v>
      </c>
      <c r="D69" s="48">
        <f>SUM(D70:D73)</f>
        <v>0</v>
      </c>
      <c r="E69" s="34">
        <f t="shared" si="3"/>
        <v>0</v>
      </c>
      <c r="F69" s="34">
        <f t="shared" si="4"/>
        <v>-3627.027</v>
      </c>
    </row>
    <row r="70" spans="1:7" ht="15" customHeight="1">
      <c r="A70" s="35" t="s">
        <v>57</v>
      </c>
      <c r="B70" s="39" t="s">
        <v>58</v>
      </c>
      <c r="C70" s="49">
        <v>14.316000000000001</v>
      </c>
      <c r="D70" s="37">
        <v>0</v>
      </c>
      <c r="E70" s="38">
        <f t="shared" si="3"/>
        <v>0</v>
      </c>
      <c r="F70" s="38">
        <f t="shared" si="4"/>
        <v>-14.316000000000001</v>
      </c>
    </row>
    <row r="71" spans="1:7" s="6" customFormat="1" ht="18" customHeight="1">
      <c r="A71" s="35" t="s">
        <v>59</v>
      </c>
      <c r="B71" s="39" t="s">
        <v>60</v>
      </c>
      <c r="C71" s="49">
        <v>1973.7</v>
      </c>
      <c r="D71" s="37">
        <v>0</v>
      </c>
      <c r="E71" s="38">
        <f t="shared" si="3"/>
        <v>0</v>
      </c>
      <c r="F71" s="38">
        <f t="shared" si="4"/>
        <v>-1973.7</v>
      </c>
      <c r="G71" s="50"/>
    </row>
    <row r="72" spans="1:7">
      <c r="A72" s="35" t="s">
        <v>61</v>
      </c>
      <c r="B72" s="39" t="s">
        <v>62</v>
      </c>
      <c r="C72" s="49">
        <v>1639.011</v>
      </c>
      <c r="D72" s="37">
        <v>0</v>
      </c>
      <c r="E72" s="38">
        <f t="shared" si="3"/>
        <v>0</v>
      </c>
      <c r="F72" s="38">
        <f t="shared" si="4"/>
        <v>-1639.011</v>
      </c>
    </row>
    <row r="73" spans="1:7">
      <c r="A73" s="35" t="s">
        <v>63</v>
      </c>
      <c r="B73" s="39" t="s">
        <v>64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6.5" customHeight="1">
      <c r="A74" s="30" t="s">
        <v>65</v>
      </c>
      <c r="B74" s="31" t="s">
        <v>66</v>
      </c>
      <c r="C74" s="32">
        <f>SUM(C75:C77)</f>
        <v>355.43099999999998</v>
      </c>
      <c r="D74" s="32">
        <f>SUM(D76:D77)</f>
        <v>0</v>
      </c>
      <c r="E74" s="34">
        <f t="shared" si="3"/>
        <v>0</v>
      </c>
      <c r="F74" s="34">
        <f t="shared" si="4"/>
        <v>-355.43099999999998</v>
      </c>
    </row>
    <row r="75" spans="1:7" hidden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71</v>
      </c>
      <c r="B77" s="39" t="s">
        <v>72</v>
      </c>
      <c r="C77" s="37">
        <v>355.43099999999998</v>
      </c>
      <c r="D77" s="37">
        <v>0</v>
      </c>
      <c r="E77" s="38">
        <f>SUM(D77/C77*100)</f>
        <v>0</v>
      </c>
      <c r="F77" s="38">
        <f t="shared" si="4"/>
        <v>-355.43099999999998</v>
      </c>
    </row>
    <row r="78" spans="1:7" s="6" customFormat="1">
      <c r="A78" s="30" t="s">
        <v>83</v>
      </c>
      <c r="B78" s="31" t="s">
        <v>84</v>
      </c>
      <c r="C78" s="32">
        <f>C79</f>
        <v>1042.8</v>
      </c>
      <c r="D78" s="32">
        <f>SUM(D79)</f>
        <v>173.666</v>
      </c>
      <c r="E78" s="34">
        <f t="shared" si="3"/>
        <v>16.653816647487535</v>
      </c>
      <c r="F78" s="34">
        <f t="shared" si="4"/>
        <v>-869.13400000000001</v>
      </c>
    </row>
    <row r="79" spans="1:7" ht="20.25" customHeight="1">
      <c r="A79" s="35" t="s">
        <v>85</v>
      </c>
      <c r="B79" s="39" t="s">
        <v>229</v>
      </c>
      <c r="C79" s="37">
        <v>1042.8</v>
      </c>
      <c r="D79" s="37">
        <v>173.666</v>
      </c>
      <c r="E79" s="38">
        <f t="shared" si="3"/>
        <v>16.653816647487535</v>
      </c>
      <c r="F79" s="38">
        <f t="shared" si="4"/>
        <v>-869.13400000000001</v>
      </c>
    </row>
    <row r="80" spans="1:7" s="6" customFormat="1" ht="0.75" hidden="1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hidden="1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2</v>
      </c>
      <c r="D85" s="32">
        <f>D86+D87+D88+D89+D90</f>
        <v>0</v>
      </c>
      <c r="E85" s="38">
        <f t="shared" si="3"/>
        <v>0</v>
      </c>
      <c r="F85" s="22">
        <f>F86+F87+F88+F89+F90</f>
        <v>-2</v>
      </c>
    </row>
    <row r="86" spans="1:6" ht="15" customHeight="1">
      <c r="A86" s="35" t="s">
        <v>94</v>
      </c>
      <c r="B86" s="39" t="s">
        <v>95</v>
      </c>
      <c r="C86" s="237">
        <v>2</v>
      </c>
      <c r="D86" s="237">
        <v>0</v>
      </c>
      <c r="E86" s="38">
        <f t="shared" si="3"/>
        <v>0</v>
      </c>
      <c r="F86" s="38">
        <f>SUM(D86-C86)</f>
        <v>-2</v>
      </c>
    </row>
    <row r="87" spans="1:6" ht="15.75" hidden="1" customHeight="1">
      <c r="A87" s="35" t="s">
        <v>96</v>
      </c>
      <c r="B87" s="39" t="s">
        <v>97</v>
      </c>
      <c r="C87" s="237"/>
      <c r="D87" s="237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7"/>
      <c r="D88" s="237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7"/>
      <c r="D89" s="237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7"/>
      <c r="D90" s="237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8">
        <f>C92+C93+C94</f>
        <v>0</v>
      </c>
      <c r="D91" s="23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9"/>
      <c r="D92" s="237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9"/>
      <c r="D93" s="237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40">
        <v>0</v>
      </c>
      <c r="D94" s="241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70">
        <f>C53+C61+C63+C69+C74+C78+C85</f>
        <v>6493.9849999999997</v>
      </c>
      <c r="D95" s="470">
        <f>D53+D61+D63+D69+D74+D78+D85</f>
        <v>312.66582</v>
      </c>
      <c r="E95" s="34">
        <f t="shared" si="3"/>
        <v>4.8146988328430078</v>
      </c>
      <c r="F95" s="34">
        <f t="shared" si="4"/>
        <v>-6181.3191799999995</v>
      </c>
    </row>
    <row r="96" spans="1:6" ht="16.5" customHeight="1">
      <c r="C96" s="126"/>
      <c r="D96" s="101"/>
    </row>
    <row r="97" spans="1:4" s="113" customFormat="1" ht="20.25" customHeight="1">
      <c r="A97" s="111" t="s">
        <v>117</v>
      </c>
      <c r="B97" s="111"/>
      <c r="C97" s="129"/>
      <c r="D97" s="112"/>
    </row>
    <row r="98" spans="1:4" s="113" customFormat="1" ht="13.5" customHeight="1">
      <c r="A98" s="114" t="s">
        <v>118</v>
      </c>
      <c r="B98" s="114"/>
      <c r="C98" s="118" t="s">
        <v>119</v>
      </c>
    </row>
    <row r="100" spans="1:4" ht="5.25" customHeight="1"/>
  </sheetData>
  <customSheetViews>
    <customSheetView guid="{B30CE22D-C12F-4E12-8BB9-3AAE0A6991CC}" scale="70" showPageBreaks="1" hiddenRows="1" view="pageBreakPreview" topLeftCell="A32">
      <selection activeCell="F67" sqref="F67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2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6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7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8"/>
    </customSheetView>
    <customSheetView guid="{61528DAC-5C4C-48F4-ADE2-8A724B05A086}" scale="70" showPageBreaks="1" hiddenRows="1" view="pageBreakPreview" topLeftCell="A35">
      <selection activeCell="C95" sqref="C9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N33"/>
  <sheetViews>
    <sheetView tabSelected="1" view="pageBreakPreview" topLeftCell="A10" zoomScale="75" zoomScaleNormal="100" zoomScaleSheetLayoutView="70" workbookViewId="0">
      <selection activeCell="G14" sqref="G14:G31"/>
    </sheetView>
  </sheetViews>
  <sheetFormatPr defaultRowHeight="15"/>
  <cols>
    <col min="1" max="1" width="6.140625" style="153" customWidth="1"/>
    <col min="2" max="2" width="26.42578125" style="153" customWidth="1"/>
    <col min="3" max="3" width="17" style="153" customWidth="1"/>
    <col min="4" max="4" width="16.5703125" style="154" customWidth="1"/>
    <col min="5" max="5" width="11.42578125" style="153" customWidth="1"/>
    <col min="6" max="6" width="15.42578125" style="153" customWidth="1"/>
    <col min="7" max="7" width="16.28515625" style="153" customWidth="1"/>
    <col min="8" max="8" width="11" style="153" customWidth="1"/>
    <col min="9" max="9" width="15.5703125" style="153" customWidth="1"/>
    <col min="10" max="10" width="17" style="153" customWidth="1"/>
    <col min="11" max="11" width="13" style="153" bestFit="1" customWidth="1"/>
    <col min="12" max="12" width="15.140625" style="153" customWidth="1"/>
    <col min="13" max="13" width="12.7109375" style="153" customWidth="1"/>
    <col min="14" max="14" width="13" style="153" bestFit="1" customWidth="1"/>
    <col min="15" max="15" width="12.42578125" style="153" customWidth="1"/>
    <col min="16" max="16" width="15.7109375" style="153" customWidth="1"/>
    <col min="17" max="17" width="10.140625" style="153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7.42578125" style="153" customWidth="1"/>
    <col min="23" max="23" width="12.28515625" style="153" customWidth="1"/>
    <col min="24" max="24" width="13.28515625" style="153" customWidth="1"/>
    <col min="25" max="25" width="10.5703125" style="153" customWidth="1"/>
    <col min="26" max="26" width="12.5703125" style="153" customWidth="1"/>
    <col min="27" max="28" width="14.85546875" style="153" customWidth="1"/>
    <col min="29" max="29" width="10.7109375" style="153" customWidth="1"/>
    <col min="30" max="30" width="14" style="153" customWidth="1"/>
    <col min="31" max="31" width="15.7109375" style="153" customWidth="1"/>
    <col min="32" max="32" width="10" style="153" customWidth="1"/>
    <col min="33" max="33" width="13.85546875" style="153" customWidth="1"/>
    <col min="34" max="34" width="12.28515625" style="153" customWidth="1"/>
    <col min="35" max="35" width="11.85546875" style="153" customWidth="1"/>
    <col min="36" max="36" width="12.85546875" style="153" customWidth="1"/>
    <col min="37" max="37" width="8.7109375" style="153" customWidth="1"/>
    <col min="38" max="38" width="13.7109375" style="153" customWidth="1"/>
    <col min="39" max="39" width="15.42578125" style="153" customWidth="1"/>
    <col min="40" max="40" width="16" style="153" customWidth="1"/>
    <col min="41" max="41" width="16.28515625" style="153" customWidth="1"/>
    <col min="42" max="42" width="14.28515625" style="153" customWidth="1"/>
    <col min="43" max="43" width="13.140625" style="153" customWidth="1"/>
    <col min="44" max="44" width="11" style="153" customWidth="1"/>
    <col min="45" max="45" width="14.42578125" style="153" customWidth="1"/>
    <col min="46" max="46" width="14.7109375" style="153" customWidth="1"/>
    <col min="47" max="47" width="12.425781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3.85546875" style="153" customWidth="1"/>
    <col min="52" max="52" width="12.85546875" style="153" customWidth="1"/>
    <col min="53" max="53" width="11.7109375" style="153" customWidth="1"/>
    <col min="54" max="56" width="9.85546875" style="153" hidden="1" customWidth="1"/>
    <col min="57" max="57" width="11.7109375" style="153" customWidth="1"/>
    <col min="58" max="58" width="11.2851562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hidden="1" customWidth="1"/>
    <col min="64" max="64" width="20.5703125" style="153" hidden="1" customWidth="1"/>
    <col min="65" max="65" width="10.140625" style="153" hidden="1" customWidth="1"/>
    <col min="66" max="66" width="12.7109375" style="153" customWidth="1"/>
    <col min="67" max="67" width="11.5703125" style="153" customWidth="1"/>
    <col min="68" max="68" width="18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20" style="153" customWidth="1"/>
    <col min="79" max="79" width="15.28515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2.140625" style="153" customWidth="1"/>
    <col min="84" max="84" width="20.42578125" style="153" customWidth="1"/>
    <col min="85" max="85" width="21.42578125" style="153" customWidth="1"/>
    <col min="86" max="86" width="18.425781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9.85546875" style="153" customWidth="1"/>
    <col min="94" max="94" width="22.28515625" style="153" customWidth="1"/>
    <col min="95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2.42578125" style="153" customWidth="1"/>
    <col min="134" max="134" width="10.140625" style="153" customWidth="1"/>
    <col min="135" max="135" width="18" style="153" customWidth="1"/>
    <col min="136" max="136" width="14.85546875" style="153" customWidth="1"/>
    <col min="137" max="137" width="10.5703125" style="153" customWidth="1"/>
    <col min="138" max="138" width="14.140625" style="153" customWidth="1"/>
    <col min="139" max="139" width="12.42578125" style="153" customWidth="1"/>
    <col min="140" max="140" width="9.5703125" style="153" customWidth="1"/>
    <col min="141" max="141" width="14.28515625" style="153" customWidth="1"/>
    <col min="142" max="142" width="11.7109375" style="153" customWidth="1"/>
    <col min="143" max="143" width="10.140625" style="153" customWidth="1"/>
    <col min="144" max="144" width="8.5703125" style="153" customWidth="1"/>
    <col min="145" max="145" width="10.85546875" style="153" customWidth="1"/>
    <col min="146" max="146" width="11.42578125" style="153" customWidth="1"/>
    <col min="147" max="149" width="10" style="153" customWidth="1"/>
    <col min="150" max="150" width="8.28515625" style="153" customWidth="1"/>
    <col min="151" max="151" width="8.5703125" style="153" customWidth="1"/>
    <col min="152" max="152" width="12.5703125" style="153" customWidth="1"/>
    <col min="153" max="153" width="12.85546875" style="153" customWidth="1"/>
    <col min="154" max="154" width="16.28515625" style="153" customWidth="1"/>
    <col min="155" max="155" width="12.7109375" style="153" customWidth="1"/>
    <col min="156" max="156" width="14.85546875" style="153" customWidth="1"/>
    <col min="157" max="16384" width="9.140625" style="153"/>
  </cols>
  <sheetData>
    <row r="1" spans="1:159" ht="18" customHeight="1">
      <c r="X1" s="507" t="s">
        <v>134</v>
      </c>
      <c r="Y1" s="507"/>
      <c r="Z1" s="507"/>
      <c r="AA1" s="156"/>
      <c r="AB1" s="156"/>
      <c r="AC1" s="156"/>
      <c r="AD1" s="502"/>
      <c r="AE1" s="502"/>
      <c r="AF1" s="502"/>
      <c r="AG1" s="157"/>
      <c r="AH1" s="157"/>
      <c r="AI1" s="157"/>
      <c r="AJ1" s="157"/>
      <c r="AK1" s="157"/>
      <c r="AL1" s="157"/>
    </row>
    <row r="2" spans="1:159" ht="19.5" customHeight="1">
      <c r="X2" s="157" t="s">
        <v>135</v>
      </c>
      <c r="Y2" s="157"/>
      <c r="Z2" s="157"/>
      <c r="AA2" s="155"/>
      <c r="AB2" s="155"/>
      <c r="AC2" s="155"/>
      <c r="AD2" s="502"/>
      <c r="AE2" s="502"/>
      <c r="AF2" s="502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47"/>
      <c r="C3" s="347"/>
      <c r="D3" s="348"/>
      <c r="E3" s="347"/>
      <c r="F3" s="347"/>
      <c r="G3" s="347"/>
      <c r="H3" s="347"/>
      <c r="I3" s="347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512" t="s">
        <v>136</v>
      </c>
      <c r="Y3" s="512"/>
      <c r="Z3" s="512"/>
      <c r="AA3" s="158"/>
      <c r="AB3" s="158"/>
      <c r="AC3" s="158"/>
      <c r="AD3" s="506"/>
      <c r="AE3" s="506"/>
      <c r="AF3" s="506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10" t="s">
        <v>137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20.25" customHeight="1">
      <c r="B5" s="508" t="s">
        <v>431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50"/>
      <c r="C6" s="351"/>
      <c r="D6" s="352"/>
      <c r="E6" s="350"/>
      <c r="F6" s="350"/>
      <c r="G6" s="353"/>
      <c r="H6" s="353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350"/>
      <c r="Z6" s="353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487" t="s">
        <v>138</v>
      </c>
      <c r="B7" s="487" t="s">
        <v>139</v>
      </c>
      <c r="C7" s="478" t="s">
        <v>140</v>
      </c>
      <c r="D7" s="479"/>
      <c r="E7" s="480"/>
      <c r="F7" s="274" t="s">
        <v>141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6"/>
      <c r="DD7" s="275"/>
      <c r="DE7" s="275"/>
      <c r="DF7" s="276"/>
      <c r="DG7" s="478" t="s">
        <v>142</v>
      </c>
      <c r="DH7" s="479"/>
      <c r="DI7" s="480"/>
      <c r="DJ7" s="478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80"/>
      <c r="EW7" s="478" t="s">
        <v>143</v>
      </c>
      <c r="EX7" s="479"/>
      <c r="EY7" s="480"/>
    </row>
    <row r="8" spans="1:159" s="162" customFormat="1" ht="15" customHeight="1">
      <c r="A8" s="487"/>
      <c r="B8" s="487"/>
      <c r="C8" s="481"/>
      <c r="D8" s="482"/>
      <c r="E8" s="483"/>
      <c r="F8" s="481" t="s">
        <v>144</v>
      </c>
      <c r="G8" s="482"/>
      <c r="H8" s="483"/>
      <c r="I8" s="503" t="s">
        <v>145</v>
      </c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5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8"/>
      <c r="BT8" s="279"/>
      <c r="BU8" s="279"/>
      <c r="BV8" s="279"/>
      <c r="BW8" s="280"/>
      <c r="BX8" s="280"/>
      <c r="BY8" s="280"/>
      <c r="BZ8" s="487" t="s">
        <v>146</v>
      </c>
      <c r="CA8" s="487"/>
      <c r="CB8" s="487"/>
      <c r="CC8" s="484" t="s">
        <v>145</v>
      </c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281"/>
      <c r="CP8" s="281"/>
      <c r="CQ8" s="281"/>
      <c r="CR8" s="281"/>
      <c r="CS8" s="281"/>
      <c r="CT8" s="281"/>
      <c r="CU8" s="282"/>
      <c r="CV8" s="282"/>
      <c r="CW8" s="283"/>
      <c r="CX8" s="481" t="s">
        <v>147</v>
      </c>
      <c r="CY8" s="482"/>
      <c r="CZ8" s="483"/>
      <c r="DA8" s="513"/>
      <c r="DB8" s="514"/>
      <c r="DC8" s="515"/>
      <c r="DD8" s="513"/>
      <c r="DE8" s="514"/>
      <c r="DF8" s="515"/>
      <c r="DG8" s="481"/>
      <c r="DH8" s="482"/>
      <c r="DI8" s="483"/>
      <c r="DJ8" s="481" t="s">
        <v>145</v>
      </c>
      <c r="DK8" s="482"/>
      <c r="DL8" s="482"/>
      <c r="DM8" s="482"/>
      <c r="DN8" s="482"/>
      <c r="DO8" s="482"/>
      <c r="DP8" s="482"/>
      <c r="DQ8" s="482"/>
      <c r="DR8" s="482"/>
      <c r="DS8" s="482"/>
      <c r="DT8" s="482"/>
      <c r="DU8" s="482"/>
      <c r="DV8" s="482"/>
      <c r="DW8" s="482"/>
      <c r="DX8" s="482"/>
      <c r="DY8" s="482"/>
      <c r="DZ8" s="482"/>
      <c r="EA8" s="482"/>
      <c r="EB8" s="482"/>
      <c r="EC8" s="482"/>
      <c r="ED8" s="482"/>
      <c r="EE8" s="482"/>
      <c r="EF8" s="482"/>
      <c r="EG8" s="482"/>
      <c r="EH8" s="482"/>
      <c r="EI8" s="482"/>
      <c r="EJ8" s="482"/>
      <c r="EK8" s="482"/>
      <c r="EL8" s="482"/>
      <c r="EM8" s="482"/>
      <c r="EN8" s="482"/>
      <c r="EO8" s="482"/>
      <c r="EP8" s="482"/>
      <c r="EQ8" s="482"/>
      <c r="ER8" s="482"/>
      <c r="ES8" s="482"/>
      <c r="ET8" s="482"/>
      <c r="EU8" s="482"/>
      <c r="EV8" s="483"/>
      <c r="EW8" s="481"/>
      <c r="EX8" s="482"/>
      <c r="EY8" s="483"/>
    </row>
    <row r="9" spans="1:159" s="162" customFormat="1" ht="15" customHeight="1">
      <c r="A9" s="487"/>
      <c r="B9" s="487"/>
      <c r="C9" s="481"/>
      <c r="D9" s="482"/>
      <c r="E9" s="483"/>
      <c r="F9" s="481"/>
      <c r="G9" s="482"/>
      <c r="H9" s="483"/>
      <c r="I9" s="478" t="s">
        <v>148</v>
      </c>
      <c r="J9" s="479"/>
      <c r="K9" s="480"/>
      <c r="L9" s="478" t="s">
        <v>278</v>
      </c>
      <c r="M9" s="479"/>
      <c r="N9" s="480"/>
      <c r="O9" s="478" t="s">
        <v>281</v>
      </c>
      <c r="P9" s="479"/>
      <c r="Q9" s="480"/>
      <c r="R9" s="478" t="s">
        <v>279</v>
      </c>
      <c r="S9" s="479"/>
      <c r="T9" s="480"/>
      <c r="U9" s="478" t="s">
        <v>280</v>
      </c>
      <c r="V9" s="479"/>
      <c r="W9" s="480"/>
      <c r="X9" s="478" t="s">
        <v>149</v>
      </c>
      <c r="Y9" s="479"/>
      <c r="Z9" s="480"/>
      <c r="AA9" s="478" t="s">
        <v>150</v>
      </c>
      <c r="AB9" s="479"/>
      <c r="AC9" s="480"/>
      <c r="AD9" s="478" t="s">
        <v>151</v>
      </c>
      <c r="AE9" s="479"/>
      <c r="AF9" s="480"/>
      <c r="AG9" s="487" t="s">
        <v>152</v>
      </c>
      <c r="AH9" s="487"/>
      <c r="AI9" s="487"/>
      <c r="AJ9" s="478" t="s">
        <v>243</v>
      </c>
      <c r="AK9" s="479"/>
      <c r="AL9" s="480"/>
      <c r="AM9" s="478" t="s">
        <v>153</v>
      </c>
      <c r="AN9" s="479"/>
      <c r="AO9" s="480"/>
      <c r="AP9" s="478" t="s">
        <v>327</v>
      </c>
      <c r="AQ9" s="479"/>
      <c r="AR9" s="480"/>
      <c r="AS9" s="478" t="s">
        <v>154</v>
      </c>
      <c r="AT9" s="479"/>
      <c r="AU9" s="480"/>
      <c r="AV9" s="478" t="s">
        <v>155</v>
      </c>
      <c r="AW9" s="479"/>
      <c r="AX9" s="480"/>
      <c r="AY9" s="478" t="s">
        <v>245</v>
      </c>
      <c r="AZ9" s="479"/>
      <c r="BA9" s="480"/>
      <c r="BB9" s="478" t="s">
        <v>337</v>
      </c>
      <c r="BC9" s="479"/>
      <c r="BD9" s="480"/>
      <c r="BE9" s="478" t="s">
        <v>400</v>
      </c>
      <c r="BF9" s="479"/>
      <c r="BG9" s="480"/>
      <c r="BH9" s="478" t="s">
        <v>156</v>
      </c>
      <c r="BI9" s="479"/>
      <c r="BJ9" s="480"/>
      <c r="BK9" s="478" t="s">
        <v>271</v>
      </c>
      <c r="BL9" s="479"/>
      <c r="BM9" s="480"/>
      <c r="BN9" s="478" t="s">
        <v>241</v>
      </c>
      <c r="BO9" s="479"/>
      <c r="BP9" s="480"/>
      <c r="BQ9" s="478" t="s">
        <v>157</v>
      </c>
      <c r="BR9" s="479"/>
      <c r="BS9" s="480"/>
      <c r="BT9" s="478" t="s">
        <v>158</v>
      </c>
      <c r="BU9" s="479"/>
      <c r="BV9" s="480"/>
      <c r="BW9" s="481" t="s">
        <v>159</v>
      </c>
      <c r="BX9" s="482"/>
      <c r="BY9" s="482"/>
      <c r="BZ9" s="487"/>
      <c r="CA9" s="487"/>
      <c r="CB9" s="487"/>
      <c r="CC9" s="478" t="s">
        <v>328</v>
      </c>
      <c r="CD9" s="479"/>
      <c r="CE9" s="480"/>
      <c r="CF9" s="478" t="s">
        <v>329</v>
      </c>
      <c r="CG9" s="479"/>
      <c r="CH9" s="480"/>
      <c r="CI9" s="478" t="s">
        <v>160</v>
      </c>
      <c r="CJ9" s="479"/>
      <c r="CK9" s="480"/>
      <c r="CL9" s="478" t="s">
        <v>161</v>
      </c>
      <c r="CM9" s="479"/>
      <c r="CN9" s="480"/>
      <c r="CO9" s="478" t="s">
        <v>21</v>
      </c>
      <c r="CP9" s="479"/>
      <c r="CQ9" s="480"/>
      <c r="CR9" s="478" t="s">
        <v>288</v>
      </c>
      <c r="CS9" s="479"/>
      <c r="CT9" s="480"/>
      <c r="CU9" s="478" t="s">
        <v>330</v>
      </c>
      <c r="CV9" s="479"/>
      <c r="CW9" s="480"/>
      <c r="CX9" s="481"/>
      <c r="CY9" s="482"/>
      <c r="CZ9" s="483"/>
      <c r="DA9" s="478" t="s">
        <v>256</v>
      </c>
      <c r="DB9" s="479"/>
      <c r="DC9" s="480"/>
      <c r="DD9" s="487" t="s">
        <v>162</v>
      </c>
      <c r="DE9" s="487"/>
      <c r="DF9" s="487"/>
      <c r="DG9" s="481"/>
      <c r="DH9" s="482"/>
      <c r="DI9" s="483"/>
      <c r="DJ9" s="488" t="s">
        <v>163</v>
      </c>
      <c r="DK9" s="489"/>
      <c r="DL9" s="490"/>
      <c r="DM9" s="497" t="s">
        <v>141</v>
      </c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9"/>
      <c r="DY9" s="488" t="s">
        <v>164</v>
      </c>
      <c r="DZ9" s="489"/>
      <c r="EA9" s="490"/>
      <c r="EB9" s="488" t="s">
        <v>165</v>
      </c>
      <c r="EC9" s="489"/>
      <c r="ED9" s="490"/>
      <c r="EE9" s="488" t="s">
        <v>166</v>
      </c>
      <c r="EF9" s="489"/>
      <c r="EG9" s="490"/>
      <c r="EH9" s="488" t="s">
        <v>167</v>
      </c>
      <c r="EI9" s="489"/>
      <c r="EJ9" s="490"/>
      <c r="EK9" s="478" t="s">
        <v>282</v>
      </c>
      <c r="EL9" s="479"/>
      <c r="EM9" s="480"/>
      <c r="EN9" s="478" t="s">
        <v>168</v>
      </c>
      <c r="EO9" s="479"/>
      <c r="EP9" s="480"/>
      <c r="EQ9" s="478" t="s">
        <v>314</v>
      </c>
      <c r="ER9" s="479"/>
      <c r="ES9" s="480"/>
      <c r="ET9" s="487" t="s">
        <v>284</v>
      </c>
      <c r="EU9" s="487"/>
      <c r="EV9" s="487"/>
      <c r="EW9" s="481"/>
      <c r="EX9" s="482"/>
      <c r="EY9" s="483"/>
    </row>
    <row r="10" spans="1:159" s="162" customFormat="1" ht="62.25" customHeight="1">
      <c r="A10" s="487"/>
      <c r="B10" s="487"/>
      <c r="C10" s="481"/>
      <c r="D10" s="482"/>
      <c r="E10" s="483"/>
      <c r="F10" s="481"/>
      <c r="G10" s="482"/>
      <c r="H10" s="483"/>
      <c r="I10" s="481"/>
      <c r="J10" s="482"/>
      <c r="K10" s="483"/>
      <c r="L10" s="481"/>
      <c r="M10" s="482"/>
      <c r="N10" s="483"/>
      <c r="O10" s="481"/>
      <c r="P10" s="482"/>
      <c r="Q10" s="483"/>
      <c r="R10" s="481"/>
      <c r="S10" s="482"/>
      <c r="T10" s="483"/>
      <c r="U10" s="481"/>
      <c r="V10" s="482"/>
      <c r="W10" s="483"/>
      <c r="X10" s="481"/>
      <c r="Y10" s="482"/>
      <c r="Z10" s="483"/>
      <c r="AA10" s="481"/>
      <c r="AB10" s="482"/>
      <c r="AC10" s="483"/>
      <c r="AD10" s="481"/>
      <c r="AE10" s="482"/>
      <c r="AF10" s="483"/>
      <c r="AG10" s="487"/>
      <c r="AH10" s="487"/>
      <c r="AI10" s="487"/>
      <c r="AJ10" s="481"/>
      <c r="AK10" s="482"/>
      <c r="AL10" s="483"/>
      <c r="AM10" s="481"/>
      <c r="AN10" s="482"/>
      <c r="AO10" s="483"/>
      <c r="AP10" s="481"/>
      <c r="AQ10" s="482"/>
      <c r="AR10" s="483"/>
      <c r="AS10" s="481"/>
      <c r="AT10" s="482"/>
      <c r="AU10" s="483"/>
      <c r="AV10" s="481"/>
      <c r="AW10" s="482"/>
      <c r="AX10" s="483"/>
      <c r="AY10" s="481"/>
      <c r="AZ10" s="482"/>
      <c r="BA10" s="483"/>
      <c r="BB10" s="481"/>
      <c r="BC10" s="482"/>
      <c r="BD10" s="483"/>
      <c r="BE10" s="481"/>
      <c r="BF10" s="482"/>
      <c r="BG10" s="483"/>
      <c r="BH10" s="481"/>
      <c r="BI10" s="482"/>
      <c r="BJ10" s="483"/>
      <c r="BK10" s="481"/>
      <c r="BL10" s="482"/>
      <c r="BM10" s="483"/>
      <c r="BN10" s="481"/>
      <c r="BO10" s="482"/>
      <c r="BP10" s="483"/>
      <c r="BQ10" s="481"/>
      <c r="BR10" s="482"/>
      <c r="BS10" s="483"/>
      <c r="BT10" s="481"/>
      <c r="BU10" s="482"/>
      <c r="BV10" s="483"/>
      <c r="BW10" s="481"/>
      <c r="BX10" s="482"/>
      <c r="BY10" s="482"/>
      <c r="BZ10" s="487"/>
      <c r="CA10" s="487"/>
      <c r="CB10" s="487"/>
      <c r="CC10" s="481"/>
      <c r="CD10" s="482"/>
      <c r="CE10" s="483"/>
      <c r="CF10" s="481"/>
      <c r="CG10" s="482"/>
      <c r="CH10" s="483"/>
      <c r="CI10" s="481"/>
      <c r="CJ10" s="482"/>
      <c r="CK10" s="483"/>
      <c r="CL10" s="481"/>
      <c r="CM10" s="482"/>
      <c r="CN10" s="483"/>
      <c r="CO10" s="481"/>
      <c r="CP10" s="482"/>
      <c r="CQ10" s="483"/>
      <c r="CR10" s="481"/>
      <c r="CS10" s="482"/>
      <c r="CT10" s="483"/>
      <c r="CU10" s="481"/>
      <c r="CV10" s="482"/>
      <c r="CW10" s="483"/>
      <c r="CX10" s="481"/>
      <c r="CY10" s="482"/>
      <c r="CZ10" s="483"/>
      <c r="DA10" s="481"/>
      <c r="DB10" s="482"/>
      <c r="DC10" s="483"/>
      <c r="DD10" s="487"/>
      <c r="DE10" s="487"/>
      <c r="DF10" s="487"/>
      <c r="DG10" s="481"/>
      <c r="DH10" s="482"/>
      <c r="DI10" s="483"/>
      <c r="DJ10" s="491"/>
      <c r="DK10" s="492"/>
      <c r="DL10" s="493"/>
      <c r="DM10" s="284"/>
      <c r="DN10" s="285"/>
      <c r="DO10" s="285"/>
      <c r="DP10" s="286"/>
      <c r="DQ10" s="286"/>
      <c r="DR10" s="286"/>
      <c r="DS10" s="285"/>
      <c r="DT10" s="285"/>
      <c r="DU10" s="285"/>
      <c r="DV10" s="285"/>
      <c r="DW10" s="285"/>
      <c r="DX10" s="287"/>
      <c r="DY10" s="491"/>
      <c r="DZ10" s="492"/>
      <c r="EA10" s="493"/>
      <c r="EB10" s="491"/>
      <c r="EC10" s="492"/>
      <c r="ED10" s="493"/>
      <c r="EE10" s="491"/>
      <c r="EF10" s="492"/>
      <c r="EG10" s="493"/>
      <c r="EH10" s="491"/>
      <c r="EI10" s="492"/>
      <c r="EJ10" s="493"/>
      <c r="EK10" s="481"/>
      <c r="EL10" s="482"/>
      <c r="EM10" s="483"/>
      <c r="EN10" s="481"/>
      <c r="EO10" s="482"/>
      <c r="EP10" s="483"/>
      <c r="EQ10" s="481"/>
      <c r="ER10" s="482"/>
      <c r="ES10" s="483"/>
      <c r="ET10" s="487"/>
      <c r="EU10" s="487"/>
      <c r="EV10" s="487"/>
      <c r="EW10" s="481"/>
      <c r="EX10" s="482"/>
      <c r="EY10" s="483"/>
    </row>
    <row r="11" spans="1:159" s="162" customFormat="1" ht="109.5" customHeight="1">
      <c r="A11" s="487"/>
      <c r="B11" s="487"/>
      <c r="C11" s="484"/>
      <c r="D11" s="485"/>
      <c r="E11" s="511"/>
      <c r="F11" s="484"/>
      <c r="G11" s="485"/>
      <c r="H11" s="486"/>
      <c r="I11" s="484"/>
      <c r="J11" s="485"/>
      <c r="K11" s="486"/>
      <c r="L11" s="484"/>
      <c r="M11" s="485"/>
      <c r="N11" s="486"/>
      <c r="O11" s="484"/>
      <c r="P11" s="485"/>
      <c r="Q11" s="486"/>
      <c r="R11" s="484"/>
      <c r="S11" s="485"/>
      <c r="T11" s="486"/>
      <c r="U11" s="484"/>
      <c r="V11" s="485"/>
      <c r="W11" s="486"/>
      <c r="X11" s="484"/>
      <c r="Y11" s="485"/>
      <c r="Z11" s="486"/>
      <c r="AA11" s="484"/>
      <c r="AB11" s="485"/>
      <c r="AC11" s="486"/>
      <c r="AD11" s="484"/>
      <c r="AE11" s="485"/>
      <c r="AF11" s="486"/>
      <c r="AG11" s="487"/>
      <c r="AH11" s="487"/>
      <c r="AI11" s="487"/>
      <c r="AJ11" s="484"/>
      <c r="AK11" s="485"/>
      <c r="AL11" s="486"/>
      <c r="AM11" s="484"/>
      <c r="AN11" s="485"/>
      <c r="AO11" s="486"/>
      <c r="AP11" s="484"/>
      <c r="AQ11" s="485"/>
      <c r="AR11" s="486"/>
      <c r="AS11" s="484"/>
      <c r="AT11" s="485"/>
      <c r="AU11" s="486"/>
      <c r="AV11" s="484"/>
      <c r="AW11" s="485"/>
      <c r="AX11" s="486"/>
      <c r="AY11" s="484"/>
      <c r="AZ11" s="485"/>
      <c r="BA11" s="486"/>
      <c r="BB11" s="484"/>
      <c r="BC11" s="485"/>
      <c r="BD11" s="486"/>
      <c r="BE11" s="484"/>
      <c r="BF11" s="485"/>
      <c r="BG11" s="486"/>
      <c r="BH11" s="484"/>
      <c r="BI11" s="485"/>
      <c r="BJ11" s="486"/>
      <c r="BK11" s="484"/>
      <c r="BL11" s="485"/>
      <c r="BM11" s="486"/>
      <c r="BN11" s="484"/>
      <c r="BO11" s="485"/>
      <c r="BP11" s="486"/>
      <c r="BQ11" s="484"/>
      <c r="BR11" s="485"/>
      <c r="BS11" s="486"/>
      <c r="BT11" s="484"/>
      <c r="BU11" s="485"/>
      <c r="BV11" s="486"/>
      <c r="BW11" s="484"/>
      <c r="BX11" s="485"/>
      <c r="BY11" s="485"/>
      <c r="BZ11" s="487"/>
      <c r="CA11" s="487"/>
      <c r="CB11" s="487"/>
      <c r="CC11" s="484"/>
      <c r="CD11" s="485"/>
      <c r="CE11" s="486"/>
      <c r="CF11" s="484"/>
      <c r="CG11" s="485"/>
      <c r="CH11" s="486"/>
      <c r="CI11" s="484"/>
      <c r="CJ11" s="485"/>
      <c r="CK11" s="486"/>
      <c r="CL11" s="484"/>
      <c r="CM11" s="485"/>
      <c r="CN11" s="486"/>
      <c r="CO11" s="484"/>
      <c r="CP11" s="485"/>
      <c r="CQ11" s="486"/>
      <c r="CR11" s="484"/>
      <c r="CS11" s="485"/>
      <c r="CT11" s="486"/>
      <c r="CU11" s="484"/>
      <c r="CV11" s="485"/>
      <c r="CW11" s="486"/>
      <c r="CX11" s="484"/>
      <c r="CY11" s="485"/>
      <c r="CZ11" s="486"/>
      <c r="DA11" s="484"/>
      <c r="DB11" s="485"/>
      <c r="DC11" s="486"/>
      <c r="DD11" s="487"/>
      <c r="DE11" s="487"/>
      <c r="DF11" s="487"/>
      <c r="DG11" s="484"/>
      <c r="DH11" s="485"/>
      <c r="DI11" s="486"/>
      <c r="DJ11" s="494"/>
      <c r="DK11" s="495"/>
      <c r="DL11" s="496"/>
      <c r="DM11" s="494" t="s">
        <v>169</v>
      </c>
      <c r="DN11" s="495"/>
      <c r="DO11" s="496"/>
      <c r="DP11" s="497" t="s">
        <v>170</v>
      </c>
      <c r="DQ11" s="498"/>
      <c r="DR11" s="499"/>
      <c r="DS11" s="494" t="s">
        <v>171</v>
      </c>
      <c r="DT11" s="495"/>
      <c r="DU11" s="496"/>
      <c r="DV11" s="494" t="s">
        <v>238</v>
      </c>
      <c r="DW11" s="495"/>
      <c r="DX11" s="496"/>
      <c r="DY11" s="494"/>
      <c r="DZ11" s="495"/>
      <c r="EA11" s="496"/>
      <c r="EB11" s="494"/>
      <c r="EC11" s="495"/>
      <c r="ED11" s="496"/>
      <c r="EE11" s="494"/>
      <c r="EF11" s="495"/>
      <c r="EG11" s="496"/>
      <c r="EH11" s="494"/>
      <c r="EI11" s="495"/>
      <c r="EJ11" s="496"/>
      <c r="EK11" s="484"/>
      <c r="EL11" s="485"/>
      <c r="EM11" s="486"/>
      <c r="EN11" s="484"/>
      <c r="EO11" s="485"/>
      <c r="EP11" s="486"/>
      <c r="EQ11" s="484"/>
      <c r="ER11" s="485"/>
      <c r="ES11" s="486"/>
      <c r="ET11" s="487"/>
      <c r="EU11" s="487"/>
      <c r="EV11" s="487"/>
      <c r="EW11" s="484"/>
      <c r="EX11" s="485"/>
      <c r="EY11" s="486"/>
      <c r="FA11" s="163"/>
      <c r="FB11" s="163"/>
      <c r="FC11" s="163"/>
    </row>
    <row r="12" spans="1:159" s="162" customFormat="1" ht="42.75" customHeight="1">
      <c r="A12" s="487"/>
      <c r="B12" s="487"/>
      <c r="C12" s="288" t="s">
        <v>172</v>
      </c>
      <c r="D12" s="289" t="s">
        <v>173</v>
      </c>
      <c r="E12" s="288" t="s">
        <v>433</v>
      </c>
      <c r="F12" s="288" t="s">
        <v>172</v>
      </c>
      <c r="G12" s="288" t="s">
        <v>173</v>
      </c>
      <c r="H12" s="288" t="s">
        <v>433</v>
      </c>
      <c r="I12" s="288" t="s">
        <v>172</v>
      </c>
      <c r="J12" s="288" t="s">
        <v>173</v>
      </c>
      <c r="K12" s="288" t="s">
        <v>433</v>
      </c>
      <c r="L12" s="288" t="s">
        <v>172</v>
      </c>
      <c r="M12" s="288" t="s">
        <v>173</v>
      </c>
      <c r="N12" s="288" t="s">
        <v>433</v>
      </c>
      <c r="O12" s="288" t="s">
        <v>172</v>
      </c>
      <c r="P12" s="288" t="s">
        <v>173</v>
      </c>
      <c r="Q12" s="288" t="s">
        <v>433</v>
      </c>
      <c r="R12" s="288" t="s">
        <v>172</v>
      </c>
      <c r="S12" s="288" t="s">
        <v>173</v>
      </c>
      <c r="T12" s="288" t="s">
        <v>433</v>
      </c>
      <c r="U12" s="288" t="s">
        <v>172</v>
      </c>
      <c r="V12" s="288" t="s">
        <v>173</v>
      </c>
      <c r="W12" s="288" t="s">
        <v>433</v>
      </c>
      <c r="X12" s="288" t="s">
        <v>172</v>
      </c>
      <c r="Y12" s="288" t="s">
        <v>173</v>
      </c>
      <c r="Z12" s="288" t="s">
        <v>433</v>
      </c>
      <c r="AA12" s="288" t="s">
        <v>172</v>
      </c>
      <c r="AB12" s="288" t="s">
        <v>173</v>
      </c>
      <c r="AC12" s="288" t="s">
        <v>433</v>
      </c>
      <c r="AD12" s="288" t="s">
        <v>172</v>
      </c>
      <c r="AE12" s="288" t="s">
        <v>173</v>
      </c>
      <c r="AF12" s="288" t="s">
        <v>433</v>
      </c>
      <c r="AG12" s="288" t="s">
        <v>172</v>
      </c>
      <c r="AH12" s="288" t="s">
        <v>173</v>
      </c>
      <c r="AI12" s="288" t="s">
        <v>433</v>
      </c>
      <c r="AJ12" s="288" t="s">
        <v>172</v>
      </c>
      <c r="AK12" s="288" t="s">
        <v>173</v>
      </c>
      <c r="AL12" s="288" t="s">
        <v>433</v>
      </c>
      <c r="AM12" s="288" t="s">
        <v>172</v>
      </c>
      <c r="AN12" s="288" t="s">
        <v>173</v>
      </c>
      <c r="AO12" s="288" t="s">
        <v>433</v>
      </c>
      <c r="AP12" s="288" t="s">
        <v>172</v>
      </c>
      <c r="AQ12" s="288" t="s">
        <v>173</v>
      </c>
      <c r="AR12" s="288" t="s">
        <v>433</v>
      </c>
      <c r="AS12" s="288" t="s">
        <v>172</v>
      </c>
      <c r="AT12" s="288" t="s">
        <v>173</v>
      </c>
      <c r="AU12" s="288" t="s">
        <v>433</v>
      </c>
      <c r="AV12" s="288" t="s">
        <v>172</v>
      </c>
      <c r="AW12" s="288" t="s">
        <v>173</v>
      </c>
      <c r="AX12" s="288" t="s">
        <v>174</v>
      </c>
      <c r="AY12" s="288" t="s">
        <v>172</v>
      </c>
      <c r="AZ12" s="288" t="s">
        <v>173</v>
      </c>
      <c r="BA12" s="288" t="s">
        <v>433</v>
      </c>
      <c r="BB12" s="288"/>
      <c r="BC12" s="288"/>
      <c r="BD12" s="288"/>
      <c r="BE12" s="288" t="s">
        <v>175</v>
      </c>
      <c r="BF12" s="288" t="s">
        <v>173</v>
      </c>
      <c r="BG12" s="288" t="s">
        <v>433</v>
      </c>
      <c r="BH12" s="288" t="s">
        <v>172</v>
      </c>
      <c r="BI12" s="288" t="s">
        <v>173</v>
      </c>
      <c r="BJ12" s="288" t="s">
        <v>174</v>
      </c>
      <c r="BK12" s="288" t="s">
        <v>172</v>
      </c>
      <c r="BL12" s="288" t="s">
        <v>173</v>
      </c>
      <c r="BM12" s="288" t="s">
        <v>174</v>
      </c>
      <c r="BN12" s="288" t="s">
        <v>175</v>
      </c>
      <c r="BO12" s="288" t="s">
        <v>173</v>
      </c>
      <c r="BP12" s="288" t="s">
        <v>433</v>
      </c>
      <c r="BQ12" s="288" t="s">
        <v>175</v>
      </c>
      <c r="BR12" s="288" t="s">
        <v>173</v>
      </c>
      <c r="BS12" s="288" t="s">
        <v>433</v>
      </c>
      <c r="BT12" s="288" t="s">
        <v>175</v>
      </c>
      <c r="BU12" s="288" t="s">
        <v>173</v>
      </c>
      <c r="BV12" s="288" t="s">
        <v>174</v>
      </c>
      <c r="BW12" s="288" t="s">
        <v>175</v>
      </c>
      <c r="BX12" s="288" t="s">
        <v>173</v>
      </c>
      <c r="BY12" s="288" t="s">
        <v>174</v>
      </c>
      <c r="BZ12" s="288" t="s">
        <v>172</v>
      </c>
      <c r="CA12" s="288" t="s">
        <v>173</v>
      </c>
      <c r="CB12" s="288" t="s">
        <v>433</v>
      </c>
      <c r="CC12" s="288" t="s">
        <v>172</v>
      </c>
      <c r="CD12" s="288" t="s">
        <v>173</v>
      </c>
      <c r="CE12" s="288" t="s">
        <v>433</v>
      </c>
      <c r="CF12" s="288" t="s">
        <v>172</v>
      </c>
      <c r="CG12" s="288" t="s">
        <v>173</v>
      </c>
      <c r="CH12" s="288" t="s">
        <v>433</v>
      </c>
      <c r="CI12" s="288" t="s">
        <v>172</v>
      </c>
      <c r="CJ12" s="288" t="s">
        <v>173</v>
      </c>
      <c r="CK12" s="288" t="s">
        <v>433</v>
      </c>
      <c r="CL12" s="288" t="s">
        <v>172</v>
      </c>
      <c r="CM12" s="288" t="s">
        <v>173</v>
      </c>
      <c r="CN12" s="288" t="s">
        <v>433</v>
      </c>
      <c r="CO12" s="288" t="s">
        <v>172</v>
      </c>
      <c r="CP12" s="288" t="s">
        <v>173</v>
      </c>
      <c r="CQ12" s="288" t="s">
        <v>433</v>
      </c>
      <c r="CR12" s="288" t="s">
        <v>172</v>
      </c>
      <c r="CS12" s="288" t="s">
        <v>173</v>
      </c>
      <c r="CT12" s="288" t="s">
        <v>433</v>
      </c>
      <c r="CU12" s="288" t="s">
        <v>172</v>
      </c>
      <c r="CV12" s="288" t="s">
        <v>173</v>
      </c>
      <c r="CW12" s="288" t="s">
        <v>433</v>
      </c>
      <c r="CX12" s="288" t="s">
        <v>172</v>
      </c>
      <c r="CY12" s="288" t="s">
        <v>173</v>
      </c>
      <c r="CZ12" s="288" t="s">
        <v>174</v>
      </c>
      <c r="DA12" s="288" t="s">
        <v>172</v>
      </c>
      <c r="DB12" s="288" t="s">
        <v>173</v>
      </c>
      <c r="DC12" s="288" t="s">
        <v>174</v>
      </c>
      <c r="DD12" s="288" t="s">
        <v>172</v>
      </c>
      <c r="DE12" s="288" t="s">
        <v>173</v>
      </c>
      <c r="DF12" s="288" t="s">
        <v>174</v>
      </c>
      <c r="DG12" s="288" t="s">
        <v>172</v>
      </c>
      <c r="DH12" s="288" t="s">
        <v>173</v>
      </c>
      <c r="DI12" s="288" t="s">
        <v>433</v>
      </c>
      <c r="DJ12" s="288" t="s">
        <v>172</v>
      </c>
      <c r="DK12" s="288" t="s">
        <v>173</v>
      </c>
      <c r="DL12" s="288" t="s">
        <v>433</v>
      </c>
      <c r="DM12" s="288" t="s">
        <v>172</v>
      </c>
      <c r="DN12" s="288" t="s">
        <v>173</v>
      </c>
      <c r="DO12" s="288" t="s">
        <v>433</v>
      </c>
      <c r="DP12" s="288" t="s">
        <v>172</v>
      </c>
      <c r="DQ12" s="288" t="s">
        <v>173</v>
      </c>
      <c r="DR12" s="288" t="s">
        <v>433</v>
      </c>
      <c r="DS12" s="288" t="s">
        <v>172</v>
      </c>
      <c r="DT12" s="288" t="s">
        <v>173</v>
      </c>
      <c r="DU12" s="288" t="s">
        <v>433</v>
      </c>
      <c r="DV12" s="288" t="s">
        <v>172</v>
      </c>
      <c r="DW12" s="288" t="s">
        <v>173</v>
      </c>
      <c r="DX12" s="288" t="s">
        <v>433</v>
      </c>
      <c r="DY12" s="288" t="s">
        <v>172</v>
      </c>
      <c r="DZ12" s="288" t="s">
        <v>173</v>
      </c>
      <c r="EA12" s="288" t="s">
        <v>433</v>
      </c>
      <c r="EB12" s="288" t="s">
        <v>172</v>
      </c>
      <c r="EC12" s="288" t="s">
        <v>173</v>
      </c>
      <c r="ED12" s="288" t="s">
        <v>433</v>
      </c>
      <c r="EE12" s="288" t="s">
        <v>172</v>
      </c>
      <c r="EF12" s="288" t="s">
        <v>173</v>
      </c>
      <c r="EG12" s="288" t="s">
        <v>433</v>
      </c>
      <c r="EH12" s="288" t="s">
        <v>172</v>
      </c>
      <c r="EI12" s="288" t="s">
        <v>173</v>
      </c>
      <c r="EJ12" s="288" t="s">
        <v>433</v>
      </c>
      <c r="EK12" s="288" t="s">
        <v>172</v>
      </c>
      <c r="EL12" s="288" t="s">
        <v>173</v>
      </c>
      <c r="EM12" s="288" t="s">
        <v>433</v>
      </c>
      <c r="EN12" s="288" t="s">
        <v>172</v>
      </c>
      <c r="EO12" s="288" t="s">
        <v>173</v>
      </c>
      <c r="EP12" s="288" t="s">
        <v>433</v>
      </c>
      <c r="EQ12" s="288" t="s">
        <v>172</v>
      </c>
      <c r="ER12" s="288" t="s">
        <v>173</v>
      </c>
      <c r="ES12" s="288" t="s">
        <v>433</v>
      </c>
      <c r="ET12" s="288" t="s">
        <v>172</v>
      </c>
      <c r="EU12" s="288" t="s">
        <v>173</v>
      </c>
      <c r="EV12" s="288" t="s">
        <v>433</v>
      </c>
      <c r="EW12" s="288" t="s">
        <v>172</v>
      </c>
      <c r="EX12" s="288" t="s">
        <v>173</v>
      </c>
      <c r="EY12" s="288" t="s">
        <v>433</v>
      </c>
      <c r="FA12" s="163"/>
      <c r="FB12" s="163"/>
      <c r="FC12" s="163"/>
    </row>
    <row r="13" spans="1:159" s="162" customFormat="1" ht="24" customHeight="1">
      <c r="A13" s="290">
        <v>1</v>
      </c>
      <c r="B13" s="288">
        <v>2</v>
      </c>
      <c r="C13" s="290">
        <v>3</v>
      </c>
      <c r="D13" s="289">
        <v>4</v>
      </c>
      <c r="E13" s="290">
        <v>5</v>
      </c>
      <c r="F13" s="288">
        <v>6</v>
      </c>
      <c r="G13" s="290">
        <v>7</v>
      </c>
      <c r="H13" s="288">
        <v>8</v>
      </c>
      <c r="I13" s="290">
        <v>9</v>
      </c>
      <c r="J13" s="288">
        <v>10</v>
      </c>
      <c r="K13" s="290">
        <v>11</v>
      </c>
      <c r="L13" s="290">
        <v>12</v>
      </c>
      <c r="M13" s="290">
        <v>13</v>
      </c>
      <c r="N13" s="290">
        <v>14</v>
      </c>
      <c r="O13" s="290">
        <v>15</v>
      </c>
      <c r="P13" s="290">
        <v>16</v>
      </c>
      <c r="Q13" s="290">
        <v>17</v>
      </c>
      <c r="R13" s="290">
        <v>18</v>
      </c>
      <c r="S13" s="290">
        <v>19</v>
      </c>
      <c r="T13" s="290">
        <v>20</v>
      </c>
      <c r="U13" s="290">
        <v>21</v>
      </c>
      <c r="V13" s="290">
        <v>22</v>
      </c>
      <c r="W13" s="290">
        <v>23</v>
      </c>
      <c r="X13" s="288">
        <v>24</v>
      </c>
      <c r="Y13" s="290">
        <v>25</v>
      </c>
      <c r="Z13" s="288">
        <v>26</v>
      </c>
      <c r="AA13" s="290">
        <v>27</v>
      </c>
      <c r="AB13" s="288">
        <v>28</v>
      </c>
      <c r="AC13" s="290">
        <v>29</v>
      </c>
      <c r="AD13" s="288">
        <v>30</v>
      </c>
      <c r="AE13" s="290">
        <v>31</v>
      </c>
      <c r="AF13" s="288">
        <v>32</v>
      </c>
      <c r="AG13" s="290">
        <v>33</v>
      </c>
      <c r="AH13" s="288">
        <v>34</v>
      </c>
      <c r="AI13" s="290">
        <v>35</v>
      </c>
      <c r="AJ13" s="290">
        <v>36</v>
      </c>
      <c r="AK13" s="290">
        <v>37</v>
      </c>
      <c r="AL13" s="290">
        <v>38</v>
      </c>
      <c r="AM13" s="288">
        <v>39</v>
      </c>
      <c r="AN13" s="290">
        <v>40</v>
      </c>
      <c r="AO13" s="288">
        <v>41</v>
      </c>
      <c r="AP13" s="290">
        <v>42</v>
      </c>
      <c r="AQ13" s="288">
        <v>43</v>
      </c>
      <c r="AR13" s="290">
        <v>44</v>
      </c>
      <c r="AS13" s="290">
        <v>45</v>
      </c>
      <c r="AT13" s="288">
        <v>46</v>
      </c>
      <c r="AU13" s="290">
        <v>47</v>
      </c>
      <c r="AV13" s="290">
        <v>48</v>
      </c>
      <c r="AW13" s="288">
        <v>49</v>
      </c>
      <c r="AX13" s="290">
        <v>50</v>
      </c>
      <c r="AY13" s="290">
        <v>48</v>
      </c>
      <c r="AZ13" s="288">
        <v>49</v>
      </c>
      <c r="BA13" s="290">
        <v>50</v>
      </c>
      <c r="BB13" s="290">
        <v>51</v>
      </c>
      <c r="BC13" s="290">
        <v>52</v>
      </c>
      <c r="BD13" s="290">
        <v>56</v>
      </c>
      <c r="BE13" s="288">
        <v>51</v>
      </c>
      <c r="BF13" s="290">
        <v>52</v>
      </c>
      <c r="BG13" s="288">
        <v>53</v>
      </c>
      <c r="BH13" s="290">
        <v>60</v>
      </c>
      <c r="BI13" s="291">
        <v>61</v>
      </c>
      <c r="BJ13" s="292">
        <v>62</v>
      </c>
      <c r="BK13" s="290">
        <v>63</v>
      </c>
      <c r="BL13" s="290">
        <v>64</v>
      </c>
      <c r="BM13" s="290">
        <v>65</v>
      </c>
      <c r="BN13" s="290">
        <v>66</v>
      </c>
      <c r="BO13" s="290">
        <v>67</v>
      </c>
      <c r="BP13" s="290">
        <v>68</v>
      </c>
      <c r="BQ13" s="288">
        <v>54</v>
      </c>
      <c r="BR13" s="290">
        <v>55</v>
      </c>
      <c r="BS13" s="288">
        <v>56</v>
      </c>
      <c r="BT13" s="290">
        <v>72</v>
      </c>
      <c r="BU13" s="288">
        <v>73</v>
      </c>
      <c r="BV13" s="290">
        <v>74</v>
      </c>
      <c r="BW13" s="288">
        <v>75</v>
      </c>
      <c r="BX13" s="290">
        <v>76</v>
      </c>
      <c r="BY13" s="288">
        <v>77</v>
      </c>
      <c r="BZ13" s="290">
        <v>57</v>
      </c>
      <c r="CA13" s="288">
        <v>58</v>
      </c>
      <c r="CB13" s="290">
        <v>59</v>
      </c>
      <c r="CC13" s="288">
        <v>60</v>
      </c>
      <c r="CD13" s="290">
        <v>61</v>
      </c>
      <c r="CE13" s="288">
        <v>62</v>
      </c>
      <c r="CF13" s="290">
        <v>63</v>
      </c>
      <c r="CG13" s="288">
        <v>64</v>
      </c>
      <c r="CH13" s="290">
        <v>65</v>
      </c>
      <c r="CI13" s="288">
        <v>66</v>
      </c>
      <c r="CJ13" s="290">
        <v>67</v>
      </c>
      <c r="CK13" s="288">
        <v>68</v>
      </c>
      <c r="CL13" s="290">
        <v>69</v>
      </c>
      <c r="CM13" s="288">
        <v>70</v>
      </c>
      <c r="CN13" s="290">
        <v>71</v>
      </c>
      <c r="CO13" s="290">
        <v>72</v>
      </c>
      <c r="CP13" s="290">
        <v>73</v>
      </c>
      <c r="CQ13" s="290">
        <v>74</v>
      </c>
      <c r="CR13" s="290">
        <v>75</v>
      </c>
      <c r="CS13" s="290">
        <v>76</v>
      </c>
      <c r="CT13" s="290">
        <v>77</v>
      </c>
      <c r="CU13" s="290">
        <v>78</v>
      </c>
      <c r="CV13" s="290">
        <v>79</v>
      </c>
      <c r="CW13" s="290">
        <v>80</v>
      </c>
      <c r="CX13" s="288">
        <v>96</v>
      </c>
      <c r="CY13" s="290">
        <v>97</v>
      </c>
      <c r="CZ13" s="288">
        <v>98</v>
      </c>
      <c r="DA13" s="288">
        <v>99</v>
      </c>
      <c r="DB13" s="288">
        <v>100</v>
      </c>
      <c r="DC13" s="288">
        <v>101</v>
      </c>
      <c r="DD13" s="288">
        <v>102</v>
      </c>
      <c r="DE13" s="288">
        <v>103</v>
      </c>
      <c r="DF13" s="288">
        <v>104</v>
      </c>
      <c r="DG13" s="290">
        <v>81</v>
      </c>
      <c r="DH13" s="288">
        <v>82</v>
      </c>
      <c r="DI13" s="290">
        <v>83</v>
      </c>
      <c r="DJ13" s="288">
        <v>84</v>
      </c>
      <c r="DK13" s="290">
        <v>85</v>
      </c>
      <c r="DL13" s="288">
        <v>86</v>
      </c>
      <c r="DM13" s="290">
        <v>87</v>
      </c>
      <c r="DN13" s="288">
        <v>88</v>
      </c>
      <c r="DO13" s="290">
        <v>89</v>
      </c>
      <c r="DP13" s="288">
        <v>90</v>
      </c>
      <c r="DQ13" s="290">
        <v>91</v>
      </c>
      <c r="DR13" s="288">
        <v>92</v>
      </c>
      <c r="DS13" s="290">
        <v>93</v>
      </c>
      <c r="DT13" s="288">
        <v>94</v>
      </c>
      <c r="DU13" s="290">
        <v>95</v>
      </c>
      <c r="DV13" s="288">
        <v>96</v>
      </c>
      <c r="DW13" s="288">
        <v>97</v>
      </c>
      <c r="DX13" s="288">
        <v>98</v>
      </c>
      <c r="DY13" s="290">
        <v>99</v>
      </c>
      <c r="DZ13" s="288">
        <v>100</v>
      </c>
      <c r="EA13" s="290">
        <v>101</v>
      </c>
      <c r="EB13" s="288">
        <v>102</v>
      </c>
      <c r="EC13" s="290">
        <v>103</v>
      </c>
      <c r="ED13" s="288">
        <v>104</v>
      </c>
      <c r="EE13" s="290">
        <v>105</v>
      </c>
      <c r="EF13" s="288">
        <v>106</v>
      </c>
      <c r="EG13" s="290">
        <v>107</v>
      </c>
      <c r="EH13" s="288">
        <v>108</v>
      </c>
      <c r="EI13" s="290">
        <v>109</v>
      </c>
      <c r="EJ13" s="288">
        <v>110</v>
      </c>
      <c r="EK13" s="290">
        <v>111</v>
      </c>
      <c r="EL13" s="288">
        <v>112</v>
      </c>
      <c r="EM13" s="290">
        <v>113</v>
      </c>
      <c r="EN13" s="288">
        <v>114</v>
      </c>
      <c r="EO13" s="290">
        <v>115</v>
      </c>
      <c r="EP13" s="288">
        <v>116</v>
      </c>
      <c r="EQ13" s="290">
        <v>117</v>
      </c>
      <c r="ER13" s="288">
        <v>118</v>
      </c>
      <c r="ES13" s="290">
        <v>119</v>
      </c>
      <c r="ET13" s="288">
        <v>120</v>
      </c>
      <c r="EU13" s="290">
        <v>121</v>
      </c>
      <c r="EV13" s="288">
        <v>122</v>
      </c>
      <c r="EW13" s="290">
        <v>123</v>
      </c>
      <c r="EX13" s="288">
        <v>124</v>
      </c>
      <c r="EY13" s="290">
        <v>125</v>
      </c>
    </row>
    <row r="14" spans="1:159" s="162" customFormat="1" ht="25.5" customHeight="1">
      <c r="A14" s="338">
        <v>1</v>
      </c>
      <c r="B14" s="339" t="s">
        <v>289</v>
      </c>
      <c r="C14" s="293">
        <f>F14+BZ14</f>
        <v>2808.6949999999997</v>
      </c>
      <c r="D14" s="294">
        <f t="shared" ref="D14:D29" si="0">G14+CA14+CY14</f>
        <v>298.07078000000001</v>
      </c>
      <c r="E14" s="295">
        <f t="shared" ref="E14:E29" si="1">D14/C14*100</f>
        <v>10.612429615889232</v>
      </c>
      <c r="F14" s="296">
        <f t="shared" ref="F14" si="2">I14+X14+AA14+AD14+AG14+AM14+AS14+BE14+BQ14+BN14+AJ14+AY14+L14+R14+O14+U14+AP14</f>
        <v>669.78</v>
      </c>
      <c r="G14" s="296">
        <f t="shared" ref="G14:G29" si="3">J14+Y14+AB14+AE14+AH14+AN14+AT14+BF14+AK14+BR14+BO14+AZ14+M14+S14+P14+V14+AQ14</f>
        <v>84.07338</v>
      </c>
      <c r="H14" s="295">
        <f>G14/F14*100</f>
        <v>12.552387351070502</v>
      </c>
      <c r="I14" s="297">
        <f>Але!C6</f>
        <v>89.8</v>
      </c>
      <c r="J14" s="445">
        <f>Але!D6</f>
        <v>4.3124099999999999</v>
      </c>
      <c r="K14" s="295">
        <f>J14/I14*100</f>
        <v>4.8022383073496666</v>
      </c>
      <c r="L14" s="295">
        <f>Але!C8</f>
        <v>95.74</v>
      </c>
      <c r="M14" s="295">
        <f>Але!D8</f>
        <v>17.984539999999999</v>
      </c>
      <c r="N14" s="295">
        <f>M14/L14*100</f>
        <v>18.784771255483601</v>
      </c>
      <c r="O14" s="295">
        <f>Але!C9</f>
        <v>1.03</v>
      </c>
      <c r="P14" s="330">
        <f>Але!D9</f>
        <v>0.11273</v>
      </c>
      <c r="Q14" s="295">
        <f>P14/O14*100</f>
        <v>10.944660194174757</v>
      </c>
      <c r="R14" s="295">
        <f>Але!C10</f>
        <v>159.91</v>
      </c>
      <c r="S14" s="295">
        <f>Але!D10</f>
        <v>25.743749999999999</v>
      </c>
      <c r="T14" s="295">
        <f>S14/R14*100</f>
        <v>16.098899380901756</v>
      </c>
      <c r="U14" s="295">
        <f>Але!C11</f>
        <v>0</v>
      </c>
      <c r="V14" s="299">
        <f>Але!D11</f>
        <v>-3.5110800000000002</v>
      </c>
      <c r="W14" s="295" t="e">
        <f>V14/U14*100</f>
        <v>#DIV/0!</v>
      </c>
      <c r="X14" s="300">
        <f>Але!C13</f>
        <v>35</v>
      </c>
      <c r="Y14" s="444">
        <f>Але!D13</f>
        <v>24.1173</v>
      </c>
      <c r="Z14" s="295">
        <f>Y14/X14*100</f>
        <v>68.906571428571425</v>
      </c>
      <c r="AA14" s="300">
        <f>Але!C15</f>
        <v>38</v>
      </c>
      <c r="AB14" s="301">
        <f>Але!D15</f>
        <v>1.68025</v>
      </c>
      <c r="AC14" s="295">
        <f>AB14/AA14*100</f>
        <v>4.4217105263157901</v>
      </c>
      <c r="AD14" s="300">
        <f>Але!C16</f>
        <v>193</v>
      </c>
      <c r="AE14" s="300">
        <f>Але!D16</f>
        <v>13.23348</v>
      </c>
      <c r="AF14" s="295">
        <f t="shared" ref="AF14:AF29" si="4">AE14/AD14*100</f>
        <v>6.8567253886010358</v>
      </c>
      <c r="AG14" s="295">
        <f>Але!C18</f>
        <v>3</v>
      </c>
      <c r="AH14" s="295">
        <f>Але!D18</f>
        <v>0.4</v>
      </c>
      <c r="AI14" s="295">
        <f>AH14/AG14*100</f>
        <v>13.333333333333334</v>
      </c>
      <c r="AJ14" s="295"/>
      <c r="AK14" s="295"/>
      <c r="AL14" s="302" t="e">
        <f t="shared" ref="AL14:AL23" si="5">AK14/AJ14*100</f>
        <v>#DIV/0!</v>
      </c>
      <c r="AM14" s="300">
        <v>0</v>
      </c>
      <c r="AN14" s="300">
        <v>0</v>
      </c>
      <c r="AO14" s="302" t="e">
        <f t="shared" ref="AO14:AO29" si="6">AN14/AM14*100</f>
        <v>#DIV/0!</v>
      </c>
      <c r="AP14" s="300">
        <f>Але!C27</f>
        <v>54.3</v>
      </c>
      <c r="AQ14" s="303">
        <f>Але!D27</f>
        <v>0</v>
      </c>
      <c r="AR14" s="295">
        <f>AQ14/AP14*100</f>
        <v>0</v>
      </c>
      <c r="AS14" s="304">
        <f>Але!C28</f>
        <v>0</v>
      </c>
      <c r="AT14" s="303">
        <f>Але!D28</f>
        <v>0</v>
      </c>
      <c r="AU14" s="295" t="e">
        <f>AT14/AS14*100</f>
        <v>#DIV/0!</v>
      </c>
      <c r="AV14" s="300"/>
      <c r="AW14" s="300"/>
      <c r="AX14" s="295" t="e">
        <f>AW14/AV14*100</f>
        <v>#DIV/0!</v>
      </c>
      <c r="AY14" s="295">
        <f>Але!C29</f>
        <v>0</v>
      </c>
      <c r="AZ14" s="305">
        <f>Але!D29</f>
        <v>0</v>
      </c>
      <c r="BA14" s="295" t="e">
        <f>AZ14/AY14*100</f>
        <v>#DIV/0!</v>
      </c>
      <c r="BB14" s="295">
        <f>Але!C30</f>
        <v>0</v>
      </c>
      <c r="BC14" s="295">
        <f>Але!D30</f>
        <v>0</v>
      </c>
      <c r="BD14" s="295" t="e">
        <f>BC14/BB14*100</f>
        <v>#DIV/0!</v>
      </c>
      <c r="BE14" s="295">
        <f>Але!C32</f>
        <v>0</v>
      </c>
      <c r="BF14" s="295">
        <f>Але!D31</f>
        <v>0</v>
      </c>
      <c r="BG14" s="295" t="e">
        <f>BF14/BE14*100</f>
        <v>#DIV/0!</v>
      </c>
      <c r="BH14" s="295"/>
      <c r="BI14" s="295"/>
      <c r="BJ14" s="295" t="e">
        <f>BI14/BH14*100</f>
        <v>#DIV/0!</v>
      </c>
      <c r="BK14" s="295"/>
      <c r="BL14" s="295"/>
      <c r="BM14" s="295"/>
      <c r="BN14" s="295"/>
      <c r="BO14" s="306"/>
      <c r="BP14" s="295" t="e">
        <f>BO14/BN14*100</f>
        <v>#DIV/0!</v>
      </c>
      <c r="BQ14" s="295">
        <f>Але!C34</f>
        <v>0</v>
      </c>
      <c r="BR14" s="295">
        <f>Але!D35</f>
        <v>0</v>
      </c>
      <c r="BS14" s="295" t="e">
        <f>BR14/BQ14*100</f>
        <v>#DIV/0!</v>
      </c>
      <c r="BT14" s="295"/>
      <c r="BU14" s="295"/>
      <c r="BV14" s="307" t="e">
        <f>BT14/BU14*100</f>
        <v>#DIV/0!</v>
      </c>
      <c r="BW14" s="307"/>
      <c r="BX14" s="307"/>
      <c r="BY14" s="307" t="e">
        <f>BW14/BX14*100</f>
        <v>#DIV/0!</v>
      </c>
      <c r="BZ14" s="300">
        <f>CC14+CF14+CI14+CL14+CR14+CO14</f>
        <v>2138.915</v>
      </c>
      <c r="CA14" s="300">
        <f>CD14+CG14+CJ14+CM14+CS14+CP14+CV14</f>
        <v>213.9974</v>
      </c>
      <c r="CB14" s="295">
        <f>CA14/BZ14*100</f>
        <v>10.004951108389067</v>
      </c>
      <c r="CC14" s="302">
        <f>Але!C39</f>
        <v>1194.4000000000001</v>
      </c>
      <c r="CD14" s="302">
        <f>Але!D39</f>
        <v>199.06399999999999</v>
      </c>
      <c r="CE14" s="295">
        <f>CD14/CC14*100</f>
        <v>16.666443402545209</v>
      </c>
      <c r="CF14" s="295">
        <f>Але!C40</f>
        <v>100</v>
      </c>
      <c r="CG14" s="452">
        <f>Але!D40</f>
        <v>0</v>
      </c>
      <c r="CH14" s="295">
        <f>CG14/CF14*100</f>
        <v>0</v>
      </c>
      <c r="CI14" s="295">
        <f>Але!C41</f>
        <v>751.93</v>
      </c>
      <c r="CJ14" s="295">
        <f>Але!D41</f>
        <v>0</v>
      </c>
      <c r="CK14" s="295">
        <f t="shared" ref="CK14:CK29" si="7">CJ14/CI14*100</f>
        <v>0</v>
      </c>
      <c r="CL14" s="295">
        <f>Але!C42</f>
        <v>92.584999999999994</v>
      </c>
      <c r="CM14" s="295">
        <f>Але!D42</f>
        <v>14.933400000000001</v>
      </c>
      <c r="CN14" s="295">
        <f t="shared" ref="CN14:CN31" si="8">CM14/CL14*100</f>
        <v>16.129394610358048</v>
      </c>
      <c r="CO14" s="295">
        <f>Але!C44</f>
        <v>0</v>
      </c>
      <c r="CP14" s="295">
        <f>Але!D44</f>
        <v>0</v>
      </c>
      <c r="CQ14" s="295" t="e">
        <f>CP14/CO14*100</f>
        <v>#DIV/0!</v>
      </c>
      <c r="CR14" s="299">
        <f>Але!C43</f>
        <v>0</v>
      </c>
      <c r="CS14" s="295">
        <f>Але!D43</f>
        <v>0</v>
      </c>
      <c r="CT14" s="295" t="e">
        <f t="shared" ref="CT14:CT31" si="9">CS14/CR14*100</f>
        <v>#DIV/0!</v>
      </c>
      <c r="CU14" s="295"/>
      <c r="CV14" s="295">
        <f>Але!D45</f>
        <v>0</v>
      </c>
      <c r="CW14" s="295" t="e">
        <f>CV13:CV14/CU14*100</f>
        <v>#DIV/0!</v>
      </c>
      <c r="CX14" s="300"/>
      <c r="CY14" s="300"/>
      <c r="CZ14" s="295" t="e">
        <f>CY14/CX14*100</f>
        <v>#DIV/0!</v>
      </c>
      <c r="DA14" s="295"/>
      <c r="DB14" s="295"/>
      <c r="DC14" s="295"/>
      <c r="DD14" s="295"/>
      <c r="DE14" s="295"/>
      <c r="DF14" s="295"/>
      <c r="DG14" s="304">
        <f>DJ14+DY14+EB14+EE14+EH14+EK14+EN14+EQ14+ET14</f>
        <v>2808.6950000000002</v>
      </c>
      <c r="DH14" s="304">
        <f>DK14+DZ14+EC14+EF14+EI14+EL14+EO14+ER14+EU14</f>
        <v>150.61236000000002</v>
      </c>
      <c r="DI14" s="295">
        <f>DH14/DG14*100</f>
        <v>5.3623608116936872</v>
      </c>
      <c r="DJ14" s="300">
        <f>DM14+DP14+DS14+DV14</f>
        <v>1133.2750000000001</v>
      </c>
      <c r="DK14" s="300">
        <f>DN14+DQ14+DT14+DW14</f>
        <v>92.715720000000005</v>
      </c>
      <c r="DL14" s="295">
        <f>DK14/DJ14*100</f>
        <v>8.1812199157309564</v>
      </c>
      <c r="DM14" s="295">
        <f>Але!C54</f>
        <v>1114</v>
      </c>
      <c r="DN14" s="295">
        <f>Але!D54</f>
        <v>92.715720000000005</v>
      </c>
      <c r="DO14" s="295">
        <f>DN14/DM14*100</f>
        <v>8.3227755834829438</v>
      </c>
      <c r="DP14" s="295">
        <f>Але!C57</f>
        <v>12</v>
      </c>
      <c r="DQ14" s="295">
        <f>Але!D57</f>
        <v>0</v>
      </c>
      <c r="DR14" s="295">
        <f>DQ14/DP14*100</f>
        <v>0</v>
      </c>
      <c r="DS14" s="295">
        <f>Але!C58</f>
        <v>5</v>
      </c>
      <c r="DT14" s="295">
        <f>Але!D58</f>
        <v>0</v>
      </c>
      <c r="DU14" s="295">
        <f>DT14/DS14*100</f>
        <v>0</v>
      </c>
      <c r="DV14" s="295">
        <f>Але!C59</f>
        <v>2.2749999999999999</v>
      </c>
      <c r="DW14" s="295">
        <f>Але!D59</f>
        <v>0</v>
      </c>
      <c r="DX14" s="295">
        <f>DW14/DV14*100</f>
        <v>0</v>
      </c>
      <c r="DY14" s="295">
        <f>Але!C61</f>
        <v>89.605000000000004</v>
      </c>
      <c r="DZ14" s="295">
        <f>Але!D61</f>
        <v>9.8966399999999997</v>
      </c>
      <c r="EA14" s="295">
        <f>DZ14/DY14*100</f>
        <v>11.044740806874616</v>
      </c>
      <c r="EB14" s="295">
        <f>Але!C62</f>
        <v>10</v>
      </c>
      <c r="EC14" s="295">
        <f>Але!D62</f>
        <v>0</v>
      </c>
      <c r="ED14" s="295">
        <f>EC14/EB14*100</f>
        <v>0</v>
      </c>
      <c r="EE14" s="300">
        <f>Але!C68</f>
        <v>1015.768</v>
      </c>
      <c r="EF14" s="300">
        <f>Але!D68</f>
        <v>0</v>
      </c>
      <c r="EG14" s="295">
        <f>EF14/EE14*100</f>
        <v>0</v>
      </c>
      <c r="EH14" s="300">
        <f>Але!C73</f>
        <v>275.04700000000003</v>
      </c>
      <c r="EI14" s="300">
        <f>Але!D73</f>
        <v>0</v>
      </c>
      <c r="EJ14" s="295">
        <f>EI14/EH14*100</f>
        <v>0</v>
      </c>
      <c r="EK14" s="300">
        <f>Але!C77</f>
        <v>283</v>
      </c>
      <c r="EL14" s="308">
        <f>Але!D77</f>
        <v>48</v>
      </c>
      <c r="EM14" s="295">
        <f t="shared" ref="EM14:EM29" si="10">EL14/EK14*100</f>
        <v>16.96113074204947</v>
      </c>
      <c r="EN14" s="295">
        <f>Але!C79</f>
        <v>0</v>
      </c>
      <c r="EO14" s="295">
        <f>Але!D79</f>
        <v>0</v>
      </c>
      <c r="EP14" s="295" t="e">
        <f t="shared" ref="EP14:EP29" si="11">EO14/EN14*100</f>
        <v>#DIV/0!</v>
      </c>
      <c r="EQ14" s="296">
        <f>Але!C84</f>
        <v>2</v>
      </c>
      <c r="ER14" s="296">
        <f>Але!D84</f>
        <v>0</v>
      </c>
      <c r="ES14" s="295">
        <f>ER14/EQ14*100</f>
        <v>0</v>
      </c>
      <c r="ET14" s="295">
        <f>Але!C90</f>
        <v>0</v>
      </c>
      <c r="EU14" s="295">
        <f>Але!D90</f>
        <v>0</v>
      </c>
      <c r="EV14" s="295" t="e">
        <f>EU14/ET14*100</f>
        <v>#DIV/0!</v>
      </c>
      <c r="EW14" s="309">
        <f t="shared" ref="EW14:EW29" si="12">SUM(C14-DG14)</f>
        <v>-4.5474735088646412E-13</v>
      </c>
      <c r="EX14" s="309">
        <f t="shared" ref="EX14:EX29" si="13">SUM(D14-DH14)</f>
        <v>147.45841999999999</v>
      </c>
      <c r="EY14" s="295">
        <f>EX14/EW14*100%</f>
        <v>-324264494806954.12</v>
      </c>
      <c r="EZ14" s="164"/>
      <c r="FA14" s="165"/>
      <c r="FC14" s="165"/>
    </row>
    <row r="15" spans="1:159" s="166" customFormat="1" ht="22.5" customHeight="1">
      <c r="A15" s="338">
        <v>2</v>
      </c>
      <c r="B15" s="340" t="s">
        <v>290</v>
      </c>
      <c r="C15" s="293">
        <f t="shared" ref="C15:C29" si="14">F15+BZ15</f>
        <v>10223.637999999999</v>
      </c>
      <c r="D15" s="294">
        <f>G15+CA15+CY15</f>
        <v>961.05822999999998</v>
      </c>
      <c r="E15" s="302">
        <f t="shared" si="1"/>
        <v>9.4003546487072409</v>
      </c>
      <c r="F15" s="296">
        <f t="shared" ref="F15:F29" si="15">I15+X15+AA15+AD15+AG15+AM15+AS15+BE15+BQ15+BN15+AJ15+AY15+L15+R15+O15+U15+AP15</f>
        <v>3798.06</v>
      </c>
      <c r="G15" s="296">
        <f>J15+Y15+AB15+AE15+AH15+AN15+AT15+BF15+AK15+BR15+BO15+AZ15+M15+S15+P15+V15+AQ15</f>
        <v>287.83762999999999</v>
      </c>
      <c r="H15" s="302">
        <f t="shared" ref="H15:H29" si="16">G15/F15*100</f>
        <v>7.5785435195863142</v>
      </c>
      <c r="I15" s="310">
        <f>Сун!C6</f>
        <v>403.6</v>
      </c>
      <c r="J15" s="446">
        <f>Сун!D6</f>
        <v>45.9026</v>
      </c>
      <c r="K15" s="302">
        <f t="shared" ref="K15:K29" si="17">J15/I15*100</f>
        <v>11.373290386521308</v>
      </c>
      <c r="L15" s="302">
        <f>Сун!C8</f>
        <v>275.86</v>
      </c>
      <c r="M15" s="302">
        <f>Сун!D8</f>
        <v>51.816960000000002</v>
      </c>
      <c r="N15" s="295">
        <f t="shared" ref="N15:N29" si="18">M15/L15*100</f>
        <v>18.783788878416587</v>
      </c>
      <c r="O15" s="295">
        <f>Сун!C9</f>
        <v>2.95</v>
      </c>
      <c r="P15" s="330">
        <f>Сун!D9</f>
        <v>0.32474999999999998</v>
      </c>
      <c r="Q15" s="295">
        <f t="shared" ref="Q15:Q29" si="19">P15/O15*100</f>
        <v>11.008474576271185</v>
      </c>
      <c r="R15" s="295">
        <f>Сун!C10</f>
        <v>460.75</v>
      </c>
      <c r="S15" s="295">
        <f>Сун!D10</f>
        <v>74.172640000000001</v>
      </c>
      <c r="T15" s="295">
        <f t="shared" ref="T15:T29" si="20">S15/R15*100</f>
        <v>16.098239826370051</v>
      </c>
      <c r="U15" s="295">
        <f>Сун!C11</f>
        <v>0</v>
      </c>
      <c r="V15" s="299">
        <f>Сун!D11</f>
        <v>-10.11612</v>
      </c>
      <c r="W15" s="295" t="e">
        <f t="shared" ref="W15:W29" si="21">V15/U15*100</f>
        <v>#DIV/0!</v>
      </c>
      <c r="X15" s="310">
        <f>Сун!C13</f>
        <v>40</v>
      </c>
      <c r="Y15" s="310">
        <f>Сун!D13</f>
        <v>0</v>
      </c>
      <c r="Z15" s="302">
        <f t="shared" ref="Z15:Z29" si="22">Y15/X15*100</f>
        <v>0</v>
      </c>
      <c r="AA15" s="310">
        <f>Сун!C15</f>
        <v>1120</v>
      </c>
      <c r="AB15" s="301">
        <f>Сун!D15</f>
        <v>12.757580000000001</v>
      </c>
      <c r="AC15" s="302">
        <f t="shared" ref="AC15:AC29" si="23">AB15/AA15*100</f>
        <v>1.139069642857143</v>
      </c>
      <c r="AD15" s="310">
        <f>Сун!C16</f>
        <v>1241</v>
      </c>
      <c r="AE15" s="310">
        <f>Сун!D16</f>
        <v>101.22521999999999</v>
      </c>
      <c r="AF15" s="302">
        <f t="shared" si="4"/>
        <v>8.1567461724415793</v>
      </c>
      <c r="AG15" s="302">
        <f>Сун!C18</f>
        <v>10</v>
      </c>
      <c r="AH15" s="302">
        <f>Сун!D18</f>
        <v>1.1000000000000001</v>
      </c>
      <c r="AI15" s="302">
        <f t="shared" ref="AI15:AI31" si="24">AH15/AG15*100</f>
        <v>11.000000000000002</v>
      </c>
      <c r="AJ15" s="302"/>
      <c r="AK15" s="302"/>
      <c r="AL15" s="302" t="e">
        <f t="shared" si="5"/>
        <v>#DIV/0!</v>
      </c>
      <c r="AM15" s="310">
        <f>Сун!C27</f>
        <v>0</v>
      </c>
      <c r="AN15" s="310">
        <f>Сун!D27</f>
        <v>0</v>
      </c>
      <c r="AO15" s="302" t="e">
        <f t="shared" si="6"/>
        <v>#DIV/0!</v>
      </c>
      <c r="AP15" s="310">
        <f>Сун!C28</f>
        <v>193.9</v>
      </c>
      <c r="AQ15" s="311">
        <f>Сун!D28</f>
        <v>0</v>
      </c>
      <c r="AR15" s="302">
        <f t="shared" ref="AR15:AR29" si="25">AQ15/AP15*100</f>
        <v>0</v>
      </c>
      <c r="AS15" s="304">
        <f>Сун!C29</f>
        <v>50</v>
      </c>
      <c r="AT15" s="311">
        <f>Сун!D29</f>
        <v>8.3339999999999996</v>
      </c>
      <c r="AU15" s="302">
        <f t="shared" ref="AU15:AU29" si="26">AT15/AS15*100</f>
        <v>16.667999999999999</v>
      </c>
      <c r="AV15" s="310"/>
      <c r="AW15" s="310"/>
      <c r="AX15" s="302" t="e">
        <f t="shared" ref="AX15:AX29" si="27">AW15/AV15*100</f>
        <v>#DIV/0!</v>
      </c>
      <c r="AY15" s="302">
        <f>Сун!C31</f>
        <v>0</v>
      </c>
      <c r="AZ15" s="305">
        <f>Сун!D31</f>
        <v>2.52</v>
      </c>
      <c r="BA15" s="302" t="e">
        <f t="shared" ref="BA15:BA31" si="28">AZ15/AY15*100</f>
        <v>#DIV/0!</v>
      </c>
      <c r="BB15" s="302"/>
      <c r="BC15" s="302"/>
      <c r="BD15" s="302"/>
      <c r="BE15" s="302">
        <f>Сун!C32</f>
        <v>0</v>
      </c>
      <c r="BF15" s="302">
        <f>Сун!D32</f>
        <v>0</v>
      </c>
      <c r="BG15" s="302" t="e">
        <f t="shared" ref="BG15:BG31" si="29">BF15/BE15*100</f>
        <v>#DIV/0!</v>
      </c>
      <c r="BH15" s="302"/>
      <c r="BI15" s="302"/>
      <c r="BJ15" s="302" t="e">
        <f t="shared" ref="BJ15:BJ29" si="30">BI15/BH15*100</f>
        <v>#DIV/0!</v>
      </c>
      <c r="BK15" s="302">
        <f>Сун!C35</f>
        <v>0</v>
      </c>
      <c r="BL15" s="302">
        <f>Сун!D35</f>
        <v>2.3295599999999999</v>
      </c>
      <c r="BM15" s="302"/>
      <c r="BN15" s="302">
        <f>Сун!C35</f>
        <v>0</v>
      </c>
      <c r="BO15" s="302">
        <f>Сун!D35</f>
        <v>2.3295599999999999</v>
      </c>
      <c r="BP15" s="295" t="e">
        <f t="shared" ref="BP15:BP29" si="31">BO15/BN15*100</f>
        <v>#DIV/0!</v>
      </c>
      <c r="BQ15" s="302">
        <f>Сун!C37</f>
        <v>0</v>
      </c>
      <c r="BR15" s="302">
        <f>Сун!D37</f>
        <v>-2.52956</v>
      </c>
      <c r="BS15" s="302" t="e">
        <f t="shared" ref="BS15:BS29" si="32">BR15/BQ15*100</f>
        <v>#DIV/0!</v>
      </c>
      <c r="BT15" s="302"/>
      <c r="BU15" s="302"/>
      <c r="BV15" s="312" t="e">
        <f t="shared" ref="BV15:BV29" si="33">BT15/BU15*100</f>
        <v>#DIV/0!</v>
      </c>
      <c r="BW15" s="312"/>
      <c r="BX15" s="312"/>
      <c r="BY15" s="312" t="e">
        <f t="shared" ref="BY15:BY29" si="34">BW15/BX15*100</f>
        <v>#DIV/0!</v>
      </c>
      <c r="BZ15" s="300">
        <f t="shared" ref="BZ15:BZ29" si="35">CC15+CF15+CI15+CL15+CR15+CO15</f>
        <v>6425.5779999999995</v>
      </c>
      <c r="CA15" s="300">
        <f t="shared" ref="CA15:CA29" si="36">CD15+CG15+CJ15+CM15+CS15+CP15+CV15</f>
        <v>673.22059999999999</v>
      </c>
      <c r="CB15" s="302">
        <f>CA15/BZ15*100</f>
        <v>10.477199093995901</v>
      </c>
      <c r="CC15" s="302">
        <f>Сун!C42</f>
        <v>3283.9</v>
      </c>
      <c r="CD15" s="302">
        <f>Сун!D42</f>
        <v>547.30799999999999</v>
      </c>
      <c r="CE15" s="302">
        <f t="shared" ref="CE15:CE29" si="37">CD15/CC15*100</f>
        <v>16.666402752824386</v>
      </c>
      <c r="CF15" s="302">
        <f>Сун!C43</f>
        <v>0</v>
      </c>
      <c r="CG15" s="453">
        <f>Сун!D43</f>
        <v>0</v>
      </c>
      <c r="CH15" s="302" t="e">
        <f t="shared" ref="CH15:CH29" si="38">CG15/CF15*100</f>
        <v>#DIV/0!</v>
      </c>
      <c r="CI15" s="313">
        <f>Сун!C44</f>
        <v>2956.5</v>
      </c>
      <c r="CJ15" s="302">
        <f>Сун!D44</f>
        <v>96.046000000000006</v>
      </c>
      <c r="CK15" s="302">
        <f t="shared" si="7"/>
        <v>3.2486385929308303</v>
      </c>
      <c r="CL15" s="302">
        <f>Сун!C46</f>
        <v>185.178</v>
      </c>
      <c r="CM15" s="302">
        <f>Сун!D46</f>
        <v>29.866599999999998</v>
      </c>
      <c r="CN15" s="302">
        <f t="shared" si="8"/>
        <v>16.128589789283822</v>
      </c>
      <c r="CO15" s="302">
        <f>Сун!C47</f>
        <v>0</v>
      </c>
      <c r="CP15" s="302">
        <f>Сун!D47</f>
        <v>0</v>
      </c>
      <c r="CQ15" s="295" t="e">
        <f t="shared" ref="CQ15:CQ29" si="39">CP15/CO15*100</f>
        <v>#DIV/0!</v>
      </c>
      <c r="CR15" s="314">
        <f>Сун!C48</f>
        <v>0</v>
      </c>
      <c r="CS15" s="302">
        <f>Сун!D48</f>
        <v>0</v>
      </c>
      <c r="CT15" s="302" t="e">
        <f t="shared" si="9"/>
        <v>#DIV/0!</v>
      </c>
      <c r="CU15" s="302"/>
      <c r="CV15" s="302"/>
      <c r="CW15" s="302"/>
      <c r="CX15" s="310"/>
      <c r="CY15" s="310"/>
      <c r="CZ15" s="302" t="e">
        <f t="shared" ref="CZ15:CZ29" si="40">CY15/CX15*100</f>
        <v>#DIV/0!</v>
      </c>
      <c r="DA15" s="302"/>
      <c r="DB15" s="302"/>
      <c r="DC15" s="302"/>
      <c r="DD15" s="302"/>
      <c r="DE15" s="302"/>
      <c r="DF15" s="302"/>
      <c r="DG15" s="304">
        <f>DJ15+DY15+EB15+EE15+EH15+EK15+EN15+EQ15+ET15</f>
        <v>10223.637999999999</v>
      </c>
      <c r="DH15" s="304">
        <f t="shared" ref="DG15:DH29" si="41">DK15+DZ15+EC15+EF15+EI15+EL15+EO15+ER15+EU15</f>
        <v>1087.8308999999999</v>
      </c>
      <c r="DI15" s="302">
        <f t="shared" ref="DI15:DI29" si="42">DH15/DG15*100</f>
        <v>10.640350333217979</v>
      </c>
      <c r="DJ15" s="310">
        <f>DM15+DP15+DS15+DV15</f>
        <v>1818.443</v>
      </c>
      <c r="DK15" s="310">
        <f t="shared" ref="DJ15:DK29" si="43">DN15+DQ15+DT15+DW15</f>
        <v>168.88846000000001</v>
      </c>
      <c r="DL15" s="302">
        <f t="shared" ref="DL15:DL29" si="44">DK15/DJ15*100</f>
        <v>9.2875311461508563</v>
      </c>
      <c r="DM15" s="302">
        <f>Сун!C59</f>
        <v>1754.6</v>
      </c>
      <c r="DN15" s="302">
        <f>Сун!D59</f>
        <v>168.88846000000001</v>
      </c>
      <c r="DO15" s="302">
        <f t="shared" ref="DO15:DO29" si="45">DN15/DM15*100</f>
        <v>9.6254679129146261</v>
      </c>
      <c r="DP15" s="302">
        <f>Сун!C62</f>
        <v>53</v>
      </c>
      <c r="DQ15" s="302">
        <f>Сун!D62</f>
        <v>0</v>
      </c>
      <c r="DR15" s="302">
        <f t="shared" ref="DR15:DR29" si="46">DQ15/DP15*100</f>
        <v>0</v>
      </c>
      <c r="DS15" s="302">
        <f>Сун!C63</f>
        <v>5</v>
      </c>
      <c r="DT15" s="302">
        <f>Сун!D63</f>
        <v>0</v>
      </c>
      <c r="DU15" s="302">
        <f t="shared" ref="DU15:DU29" si="47">DT15/DS15*100</f>
        <v>0</v>
      </c>
      <c r="DV15" s="302">
        <f>Сун!C64</f>
        <v>5.843</v>
      </c>
      <c r="DW15" s="302">
        <f>Сун!D64</f>
        <v>0</v>
      </c>
      <c r="DX15" s="302">
        <f t="shared" ref="DX15:DX29" si="48">DW15/DV15*100</f>
        <v>0</v>
      </c>
      <c r="DY15" s="302">
        <f>Сун!C66</f>
        <v>179.208</v>
      </c>
      <c r="DZ15" s="302">
        <f>Сун!D66</f>
        <v>19.79326</v>
      </c>
      <c r="EA15" s="302">
        <f t="shared" ref="EA15:EA31" si="49">DZ15/DY15*100</f>
        <v>11.044852908352306</v>
      </c>
      <c r="EB15" s="302">
        <f>Сун!C67</f>
        <v>8</v>
      </c>
      <c r="EC15" s="302">
        <f>Сун!D67</f>
        <v>0</v>
      </c>
      <c r="ED15" s="302">
        <f t="shared" ref="ED15:ED31" si="50">EC15/EB15*100</f>
        <v>0</v>
      </c>
      <c r="EE15" s="310">
        <f>Сун!C73</f>
        <v>3863.3759999999997</v>
      </c>
      <c r="EF15" s="310">
        <f>Сун!D73</f>
        <v>283.03474999999997</v>
      </c>
      <c r="EG15" s="302">
        <f t="shared" ref="EG15:EG29" si="51">EF15/EE15*100</f>
        <v>7.3260989869999706</v>
      </c>
      <c r="EH15" s="310">
        <f>Сун!C78</f>
        <v>1088.7</v>
      </c>
      <c r="EI15" s="310">
        <f>Сун!D78</f>
        <v>111.38188</v>
      </c>
      <c r="EJ15" s="302">
        <f t="shared" ref="EJ15:EJ29" si="52">EI15/EH15*100</f>
        <v>10.230722880499679</v>
      </c>
      <c r="EK15" s="310">
        <f>Сун!C83</f>
        <v>3243.5</v>
      </c>
      <c r="EL15" s="315">
        <f>Сун!D83</f>
        <v>496.14755000000002</v>
      </c>
      <c r="EM15" s="302">
        <f t="shared" si="10"/>
        <v>15.29667180514876</v>
      </c>
      <c r="EN15" s="302">
        <f>Сун!C86</f>
        <v>0</v>
      </c>
      <c r="EO15" s="302">
        <f>Сун!D86</f>
        <v>0</v>
      </c>
      <c r="EP15" s="302" t="e">
        <f t="shared" si="11"/>
        <v>#DIV/0!</v>
      </c>
      <c r="EQ15" s="316">
        <f>Сун!C91</f>
        <v>22.411000000000001</v>
      </c>
      <c r="ER15" s="316">
        <f>Сун!D91</f>
        <v>8.5850000000000009</v>
      </c>
      <c r="ES15" s="302">
        <f t="shared" ref="ES15:ES29" si="53">ER15/EQ15*100</f>
        <v>38.307081343982865</v>
      </c>
      <c r="ET15" s="302">
        <f>Сун!C97</f>
        <v>0</v>
      </c>
      <c r="EU15" s="302">
        <f>Сун!D97</f>
        <v>0</v>
      </c>
      <c r="EV15" s="295" t="e">
        <f>EU15/ET15*100</f>
        <v>#DIV/0!</v>
      </c>
      <c r="EW15" s="309">
        <f t="shared" si="12"/>
        <v>0</v>
      </c>
      <c r="EX15" s="309">
        <f t="shared" si="13"/>
        <v>-126.77266999999995</v>
      </c>
      <c r="EY15" s="295" t="e">
        <f>EX15/EW15*100%</f>
        <v>#DIV/0!</v>
      </c>
      <c r="EZ15" s="164"/>
      <c r="FA15" s="165"/>
      <c r="FC15" s="165"/>
    </row>
    <row r="16" spans="1:159" s="162" customFormat="1" ht="25.5" customHeight="1">
      <c r="A16" s="338">
        <v>3</v>
      </c>
      <c r="B16" s="340" t="s">
        <v>291</v>
      </c>
      <c r="C16" s="317">
        <f t="shared" si="14"/>
        <v>6750.4780000000001</v>
      </c>
      <c r="D16" s="294">
        <f t="shared" si="0"/>
        <v>651.57155</v>
      </c>
      <c r="E16" s="302">
        <f t="shared" si="1"/>
        <v>9.6522283310900345</v>
      </c>
      <c r="F16" s="296">
        <f t="shared" si="15"/>
        <v>2203.79</v>
      </c>
      <c r="G16" s="296">
        <f t="shared" si="3"/>
        <v>247.09695000000002</v>
      </c>
      <c r="H16" s="302">
        <f t="shared" si="16"/>
        <v>11.212363700715587</v>
      </c>
      <c r="I16" s="318">
        <f>Иль!C6</f>
        <v>71.7</v>
      </c>
      <c r="J16" s="445">
        <f>Иль!D6</f>
        <v>9.1025399999999994</v>
      </c>
      <c r="K16" s="302">
        <f t="shared" si="17"/>
        <v>12.695313807531381</v>
      </c>
      <c r="L16" s="302">
        <f>Иль!C8</f>
        <v>260.69</v>
      </c>
      <c r="M16" s="302">
        <f>Иль!D8</f>
        <v>48.967919999999999</v>
      </c>
      <c r="N16" s="295">
        <f t="shared" si="18"/>
        <v>18.783965629675091</v>
      </c>
      <c r="O16" s="295">
        <f>Иль!C9</f>
        <v>2.79</v>
      </c>
      <c r="P16" s="330">
        <f>Иль!D9</f>
        <v>0.30687999999999999</v>
      </c>
      <c r="Q16" s="295">
        <f t="shared" si="19"/>
        <v>10.999283154121862</v>
      </c>
      <c r="R16" s="295">
        <f>Иль!C10</f>
        <v>435.41</v>
      </c>
      <c r="S16" s="295">
        <f>Иль!D10</f>
        <v>70.094430000000003</v>
      </c>
      <c r="T16" s="295">
        <f t="shared" si="20"/>
        <v>16.098488780689465</v>
      </c>
      <c r="U16" s="295">
        <f>Иль!C11</f>
        <v>0</v>
      </c>
      <c r="V16" s="299">
        <f>Иль!D11</f>
        <v>-9.5599100000000004</v>
      </c>
      <c r="W16" s="295" t="e">
        <f t="shared" si="21"/>
        <v>#DIV/0!</v>
      </c>
      <c r="X16" s="310">
        <f>Иль!C13</f>
        <v>10</v>
      </c>
      <c r="Y16" s="310">
        <f>Иль!D13</f>
        <v>0</v>
      </c>
      <c r="Z16" s="302">
        <f t="shared" si="22"/>
        <v>0</v>
      </c>
      <c r="AA16" s="310">
        <f>Иль!C15</f>
        <v>310</v>
      </c>
      <c r="AB16" s="301">
        <f>Иль!D15</f>
        <v>32.598550000000003</v>
      </c>
      <c r="AC16" s="302">
        <f t="shared" si="23"/>
        <v>10.515661290322582</v>
      </c>
      <c r="AD16" s="310">
        <f>Иль!C16</f>
        <v>750</v>
      </c>
      <c r="AE16" s="310">
        <f>Иль!D16</f>
        <v>47.872239999999998</v>
      </c>
      <c r="AF16" s="302">
        <f t="shared" si="4"/>
        <v>6.3829653333333329</v>
      </c>
      <c r="AG16" s="302">
        <f>Иль!C18</f>
        <v>4</v>
      </c>
      <c r="AH16" s="302">
        <f>Иль!D18</f>
        <v>0</v>
      </c>
      <c r="AI16" s="302">
        <f t="shared" si="24"/>
        <v>0</v>
      </c>
      <c r="AJ16" s="302"/>
      <c r="AK16" s="302"/>
      <c r="AL16" s="302" t="e">
        <f t="shared" si="5"/>
        <v>#DIV/0!</v>
      </c>
      <c r="AM16" s="310">
        <f>Иль!C27</f>
        <v>0</v>
      </c>
      <c r="AN16" s="310">
        <f>Иль!D27</f>
        <v>0</v>
      </c>
      <c r="AO16" s="302" t="e">
        <f t="shared" si="6"/>
        <v>#DIV/0!</v>
      </c>
      <c r="AP16" s="310">
        <f>Иль!C28</f>
        <v>328.6</v>
      </c>
      <c r="AQ16" s="311">
        <f>Иль!D28</f>
        <v>31.574000000000002</v>
      </c>
      <c r="AR16" s="302">
        <f t="shared" si="25"/>
        <v>9.608642726719415</v>
      </c>
      <c r="AS16" s="304">
        <f>Иль!C29</f>
        <v>30.6</v>
      </c>
      <c r="AT16" s="311">
        <f>Иль!D29</f>
        <v>16.1403</v>
      </c>
      <c r="AU16" s="302">
        <f t="shared" si="26"/>
        <v>52.746078431372545</v>
      </c>
      <c r="AV16" s="310"/>
      <c r="AW16" s="310"/>
      <c r="AX16" s="302" t="e">
        <f t="shared" si="27"/>
        <v>#DIV/0!</v>
      </c>
      <c r="AY16" s="302">
        <f>Иль!C30</f>
        <v>0</v>
      </c>
      <c r="AZ16" s="305">
        <f>Иль!D30</f>
        <v>0</v>
      </c>
      <c r="BA16" s="302" t="e">
        <f t="shared" si="28"/>
        <v>#DIV/0!</v>
      </c>
      <c r="BB16" s="302"/>
      <c r="BC16" s="302"/>
      <c r="BD16" s="302"/>
      <c r="BE16" s="302">
        <f>Иль!C34</f>
        <v>0</v>
      </c>
      <c r="BF16" s="302">
        <f>Иль!D34</f>
        <v>0</v>
      </c>
      <c r="BG16" s="302" t="e">
        <f t="shared" si="29"/>
        <v>#DIV/0!</v>
      </c>
      <c r="BH16" s="302"/>
      <c r="BI16" s="302"/>
      <c r="BJ16" s="302" t="e">
        <f t="shared" si="30"/>
        <v>#DIV/0!</v>
      </c>
      <c r="BK16" s="302"/>
      <c r="BL16" s="302"/>
      <c r="BM16" s="302"/>
      <c r="BN16" s="302">
        <f>Иль!C35</f>
        <v>0</v>
      </c>
      <c r="BO16" s="302">
        <f>Иль!D35</f>
        <v>0</v>
      </c>
      <c r="BP16" s="295" t="e">
        <f t="shared" si="31"/>
        <v>#DIV/0!</v>
      </c>
      <c r="BQ16" s="302">
        <v>0</v>
      </c>
      <c r="BR16" s="302">
        <f>Иль!D38</f>
        <v>0</v>
      </c>
      <c r="BS16" s="302" t="e">
        <f t="shared" si="32"/>
        <v>#DIV/0!</v>
      </c>
      <c r="BT16" s="302"/>
      <c r="BU16" s="302"/>
      <c r="BV16" s="312" t="e">
        <f t="shared" si="33"/>
        <v>#DIV/0!</v>
      </c>
      <c r="BW16" s="312"/>
      <c r="BX16" s="312"/>
      <c r="BY16" s="312" t="e">
        <f t="shared" si="34"/>
        <v>#DIV/0!</v>
      </c>
      <c r="BZ16" s="300">
        <f>CC16+CF16+CI16+CL16+CR16+CO16</f>
        <v>4546.6880000000001</v>
      </c>
      <c r="CA16" s="300">
        <f t="shared" si="36"/>
        <v>404.47460000000001</v>
      </c>
      <c r="CB16" s="302">
        <f>CA16/BZ16*100</f>
        <v>8.8960271740660453</v>
      </c>
      <c r="CC16" s="302">
        <f>Иль!C43</f>
        <v>1706.8</v>
      </c>
      <c r="CD16" s="302">
        <f>Иль!D43</f>
        <v>284.46199999999999</v>
      </c>
      <c r="CE16" s="302">
        <f t="shared" si="37"/>
        <v>16.666393250527303</v>
      </c>
      <c r="CF16" s="302">
        <f>Иль!C44</f>
        <v>650</v>
      </c>
      <c r="CG16" s="453">
        <f>Иль!D44</f>
        <v>0</v>
      </c>
      <c r="CH16" s="302">
        <f t="shared" si="38"/>
        <v>0</v>
      </c>
      <c r="CI16" s="295">
        <f>Иль!C45</f>
        <v>2009.49</v>
      </c>
      <c r="CJ16" s="302">
        <f>Иль!D45</f>
        <v>90.146000000000001</v>
      </c>
      <c r="CK16" s="302">
        <f t="shared" si="7"/>
        <v>4.4860138642143035</v>
      </c>
      <c r="CL16" s="302">
        <f>Иль!C47</f>
        <v>180.398</v>
      </c>
      <c r="CM16" s="302">
        <f>Иль!D47</f>
        <v>29.866599999999998</v>
      </c>
      <c r="CN16" s="302">
        <f t="shared" si="8"/>
        <v>16.555948513841617</v>
      </c>
      <c r="CO16" s="302">
        <f>Иль!C48</f>
        <v>0</v>
      </c>
      <c r="CP16" s="302">
        <f>Иль!D48</f>
        <v>0</v>
      </c>
      <c r="CQ16" s="295" t="e">
        <f t="shared" si="39"/>
        <v>#DIV/0!</v>
      </c>
      <c r="CR16" s="314">
        <f>Иль!C52</f>
        <v>0</v>
      </c>
      <c r="CS16" s="302">
        <f>Иль!D52</f>
        <v>0</v>
      </c>
      <c r="CT16" s="302" t="e">
        <f t="shared" si="9"/>
        <v>#DIV/0!</v>
      </c>
      <c r="CU16" s="302"/>
      <c r="CV16" s="302"/>
      <c r="CW16" s="302"/>
      <c r="CX16" s="310"/>
      <c r="CY16" s="310"/>
      <c r="CZ16" s="302" t="e">
        <f t="shared" si="40"/>
        <v>#DIV/0!</v>
      </c>
      <c r="DA16" s="302"/>
      <c r="DB16" s="302"/>
      <c r="DC16" s="302"/>
      <c r="DD16" s="302"/>
      <c r="DE16" s="302"/>
      <c r="DF16" s="302">
        <v>0</v>
      </c>
      <c r="DG16" s="304">
        <f t="shared" si="41"/>
        <v>6871.3779999999997</v>
      </c>
      <c r="DH16" s="304">
        <f t="shared" si="41"/>
        <v>699.65150999999992</v>
      </c>
      <c r="DI16" s="302">
        <f t="shared" si="42"/>
        <v>10.182113544037309</v>
      </c>
      <c r="DJ16" s="310">
        <f t="shared" si="43"/>
        <v>1373.5740000000001</v>
      </c>
      <c r="DK16" s="310">
        <f t="shared" si="43"/>
        <v>161.51686000000001</v>
      </c>
      <c r="DL16" s="302">
        <f t="shared" si="44"/>
        <v>11.758875750414612</v>
      </c>
      <c r="DM16" s="302">
        <f>Иль!C60</f>
        <v>1341.9</v>
      </c>
      <c r="DN16" s="302">
        <f>Иль!D60</f>
        <v>161.51686000000001</v>
      </c>
      <c r="DO16" s="302">
        <f t="shared" si="45"/>
        <v>12.036430434458604</v>
      </c>
      <c r="DP16" s="302">
        <f>Иль!C63</f>
        <v>23</v>
      </c>
      <c r="DQ16" s="302">
        <f>Иль!D63</f>
        <v>0</v>
      </c>
      <c r="DR16" s="302">
        <f t="shared" si="46"/>
        <v>0</v>
      </c>
      <c r="DS16" s="302">
        <f>Иль!C64</f>
        <v>5</v>
      </c>
      <c r="DT16" s="302">
        <f>Иль!D64</f>
        <v>0</v>
      </c>
      <c r="DU16" s="302">
        <f t="shared" si="47"/>
        <v>0</v>
      </c>
      <c r="DV16" s="302">
        <f>Иль!C65</f>
        <v>3.6739999999999999</v>
      </c>
      <c r="DW16" s="302">
        <f>Иль!D65</f>
        <v>0</v>
      </c>
      <c r="DX16" s="302">
        <f t="shared" si="48"/>
        <v>0</v>
      </c>
      <c r="DY16" s="302">
        <f>Иль!C67</f>
        <v>179.208</v>
      </c>
      <c r="DZ16" s="302">
        <f>Иль!D67</f>
        <v>19.79326</v>
      </c>
      <c r="EA16" s="302">
        <f t="shared" si="49"/>
        <v>11.044852908352306</v>
      </c>
      <c r="EB16" s="302">
        <f>Иль!C68</f>
        <v>6</v>
      </c>
      <c r="EC16" s="302">
        <f>Иль!D68</f>
        <v>0</v>
      </c>
      <c r="ED16" s="302">
        <f t="shared" si="50"/>
        <v>0</v>
      </c>
      <c r="EE16" s="310">
        <f>Иль!C74</f>
        <v>2165.0429999999997</v>
      </c>
      <c r="EF16" s="310">
        <f>Иль!D74</f>
        <v>163.49</v>
      </c>
      <c r="EG16" s="302">
        <f t="shared" si="51"/>
        <v>7.5513511740875368</v>
      </c>
      <c r="EH16" s="310">
        <f>Иль!C81</f>
        <v>1560.3</v>
      </c>
      <c r="EI16" s="310">
        <f>Иль!D81</f>
        <v>77.107420000000005</v>
      </c>
      <c r="EJ16" s="302">
        <f t="shared" si="52"/>
        <v>4.9418329808370185</v>
      </c>
      <c r="EK16" s="310">
        <f>Иль!C85</f>
        <v>1585.2529999999999</v>
      </c>
      <c r="EL16" s="315">
        <f>Иль!D85</f>
        <v>277.74396999999999</v>
      </c>
      <c r="EM16" s="302">
        <f t="shared" si="10"/>
        <v>17.520482219557383</v>
      </c>
      <c r="EN16" s="302">
        <f>Иль!C87</f>
        <v>0</v>
      </c>
      <c r="EO16" s="302">
        <f>Иль!D87</f>
        <v>0</v>
      </c>
      <c r="EP16" s="302" t="e">
        <f t="shared" si="11"/>
        <v>#DIV/0!</v>
      </c>
      <c r="EQ16" s="316">
        <f>Иль!C92</f>
        <v>2</v>
      </c>
      <c r="ER16" s="316">
        <f>Иль!D92</f>
        <v>0</v>
      </c>
      <c r="ES16" s="302">
        <f t="shared" si="53"/>
        <v>0</v>
      </c>
      <c r="ET16" s="302">
        <f>Иль!C98</f>
        <v>0</v>
      </c>
      <c r="EU16" s="302">
        <f>Иль!D98</f>
        <v>0</v>
      </c>
      <c r="EV16" s="295" t="e">
        <f t="shared" ref="EV16:EV29" si="54">EU16/ET16*100</f>
        <v>#DIV/0!</v>
      </c>
      <c r="EW16" s="309">
        <f t="shared" si="12"/>
        <v>-120.89999999999964</v>
      </c>
      <c r="EX16" s="309">
        <f t="shared" si="13"/>
        <v>-48.079959999999915</v>
      </c>
      <c r="EY16" s="295">
        <f>EX16/EW16*100</f>
        <v>39.768370554177054</v>
      </c>
      <c r="EZ16" s="164"/>
      <c r="FA16" s="165"/>
      <c r="FC16" s="165"/>
    </row>
    <row r="17" spans="1:170" s="162" customFormat="1" ht="22.5" customHeight="1">
      <c r="A17" s="338">
        <v>4</v>
      </c>
      <c r="B17" s="340" t="s">
        <v>292</v>
      </c>
      <c r="C17" s="317">
        <f t="shared" si="14"/>
        <v>8075.3580000000002</v>
      </c>
      <c r="D17" s="294">
        <f t="shared" si="0"/>
        <v>748.76189999999997</v>
      </c>
      <c r="E17" s="302">
        <f t="shared" si="1"/>
        <v>9.2721821125453499</v>
      </c>
      <c r="F17" s="296">
        <f t="shared" si="15"/>
        <v>4556.29</v>
      </c>
      <c r="G17" s="296">
        <f t="shared" si="3"/>
        <v>439.76130000000001</v>
      </c>
      <c r="H17" s="302">
        <f t="shared" si="16"/>
        <v>9.6517407803278541</v>
      </c>
      <c r="I17" s="310">
        <f>Кад!C6</f>
        <v>484.2</v>
      </c>
      <c r="J17" s="446">
        <f>Кад!D6</f>
        <v>40.716430000000003</v>
      </c>
      <c r="K17" s="302">
        <f t="shared" si="17"/>
        <v>8.4090107393639002</v>
      </c>
      <c r="L17" s="302">
        <f>Кад!C8</f>
        <v>310.93</v>
      </c>
      <c r="M17" s="302">
        <f>Кад!D8</f>
        <v>58.405349999999999</v>
      </c>
      <c r="N17" s="295">
        <f t="shared" si="18"/>
        <v>18.78408323416846</v>
      </c>
      <c r="O17" s="295">
        <f>Кад!C9</f>
        <v>3.33</v>
      </c>
      <c r="P17" s="330">
        <f>Кад!D9</f>
        <v>0.36601</v>
      </c>
      <c r="Q17" s="295">
        <f t="shared" si="19"/>
        <v>10.991291291291292</v>
      </c>
      <c r="R17" s="295">
        <f>Кад!C10</f>
        <v>519.33000000000004</v>
      </c>
      <c r="S17" s="295">
        <f>Кад!D10</f>
        <v>83.603539999999995</v>
      </c>
      <c r="T17" s="295">
        <f t="shared" si="20"/>
        <v>16.098345945737773</v>
      </c>
      <c r="U17" s="295">
        <f>Кад!C11</f>
        <v>0</v>
      </c>
      <c r="V17" s="299">
        <f>Кад!D11</f>
        <v>-11.402329999999999</v>
      </c>
      <c r="W17" s="295" t="e">
        <f t="shared" si="21"/>
        <v>#DIV/0!</v>
      </c>
      <c r="X17" s="310">
        <f>Кад!C13</f>
        <v>60</v>
      </c>
      <c r="Y17" s="310">
        <f>Кад!D13</f>
        <v>10.9533</v>
      </c>
      <c r="Z17" s="302">
        <f t="shared" si="22"/>
        <v>18.255499999999998</v>
      </c>
      <c r="AA17" s="310">
        <f>Кад!C15</f>
        <v>340</v>
      </c>
      <c r="AB17" s="301">
        <f>Кад!D15</f>
        <v>16.963100000000001</v>
      </c>
      <c r="AC17" s="302">
        <f t="shared" si="23"/>
        <v>4.9891470588235292</v>
      </c>
      <c r="AD17" s="310">
        <f>Кад!C16</f>
        <v>2691</v>
      </c>
      <c r="AE17" s="310">
        <f>Кад!D16</f>
        <v>213.42505</v>
      </c>
      <c r="AF17" s="302">
        <f t="shared" si="4"/>
        <v>7.9310683760683762</v>
      </c>
      <c r="AG17" s="302">
        <f>Кад!C18</f>
        <v>20</v>
      </c>
      <c r="AH17" s="302">
        <f>Кад!D18</f>
        <v>1.4</v>
      </c>
      <c r="AI17" s="302">
        <f t="shared" si="24"/>
        <v>6.9999999999999991</v>
      </c>
      <c r="AJ17" s="302"/>
      <c r="AK17" s="302"/>
      <c r="AL17" s="302" t="e">
        <f t="shared" si="5"/>
        <v>#DIV/0!</v>
      </c>
      <c r="AM17" s="310">
        <v>0</v>
      </c>
      <c r="AN17" s="310">
        <v>0</v>
      </c>
      <c r="AO17" s="302" t="e">
        <f t="shared" si="6"/>
        <v>#DIV/0!</v>
      </c>
      <c r="AP17" s="310">
        <f>Кад!C27</f>
        <v>115.5</v>
      </c>
      <c r="AQ17" s="311">
        <f>Кад!D27</f>
        <v>16.114000000000001</v>
      </c>
      <c r="AR17" s="302">
        <f t="shared" si="25"/>
        <v>13.951515151515151</v>
      </c>
      <c r="AS17" s="304">
        <f>Кад!C28</f>
        <v>12</v>
      </c>
      <c r="AT17" s="311">
        <f>Кад!D28</f>
        <v>2</v>
      </c>
      <c r="AU17" s="302">
        <f t="shared" si="26"/>
        <v>16.666666666666664</v>
      </c>
      <c r="AV17" s="310"/>
      <c r="AW17" s="310"/>
      <c r="AX17" s="302" t="e">
        <f t="shared" si="27"/>
        <v>#DIV/0!</v>
      </c>
      <c r="AY17" s="302">
        <f>Кад!C30</f>
        <v>0</v>
      </c>
      <c r="AZ17" s="305">
        <f>Кад!D30</f>
        <v>7.21685</v>
      </c>
      <c r="BA17" s="302" t="e">
        <f t="shared" si="28"/>
        <v>#DIV/0!</v>
      </c>
      <c r="BB17" s="302"/>
      <c r="BC17" s="302"/>
      <c r="BD17" s="302"/>
      <c r="BE17" s="302">
        <f>Кад!C33</f>
        <v>0</v>
      </c>
      <c r="BF17" s="302">
        <f>Кад!D33</f>
        <v>0</v>
      </c>
      <c r="BG17" s="302" t="e">
        <f t="shared" si="29"/>
        <v>#DIV/0!</v>
      </c>
      <c r="BH17" s="302"/>
      <c r="BI17" s="302"/>
      <c r="BJ17" s="302" t="e">
        <f t="shared" si="30"/>
        <v>#DIV/0!</v>
      </c>
      <c r="BK17" s="302"/>
      <c r="BL17" s="302"/>
      <c r="BM17" s="302"/>
      <c r="BN17" s="302">
        <f>Кад!C34</f>
        <v>0</v>
      </c>
      <c r="BO17" s="302">
        <f>Кад!D34</f>
        <v>0</v>
      </c>
      <c r="BP17" s="295" t="e">
        <f t="shared" si="31"/>
        <v>#DIV/0!</v>
      </c>
      <c r="BQ17" s="302">
        <f>Кад!C36</f>
        <v>0</v>
      </c>
      <c r="BR17" s="302">
        <f>Кад!D36</f>
        <v>0</v>
      </c>
      <c r="BS17" s="302" t="e">
        <f t="shared" si="32"/>
        <v>#DIV/0!</v>
      </c>
      <c r="BT17" s="302"/>
      <c r="BU17" s="302"/>
      <c r="BV17" s="312" t="e">
        <f t="shared" si="33"/>
        <v>#DIV/0!</v>
      </c>
      <c r="BW17" s="312"/>
      <c r="BX17" s="312"/>
      <c r="BY17" s="312" t="e">
        <f t="shared" si="34"/>
        <v>#DIV/0!</v>
      </c>
      <c r="BZ17" s="300">
        <f t="shared" si="35"/>
        <v>3519.0679999999998</v>
      </c>
      <c r="CA17" s="300">
        <f>CD17+CG17+CJ17+CM17+CS17+CP17+CV17</f>
        <v>309.00060000000002</v>
      </c>
      <c r="CB17" s="302">
        <f>CA17/BZ17*100</f>
        <v>8.7807510397639383</v>
      </c>
      <c r="CC17" s="302">
        <f>Кад!C41</f>
        <v>1196.5999999999999</v>
      </c>
      <c r="CD17" s="302">
        <f>Кад!D41</f>
        <v>199.43</v>
      </c>
      <c r="CE17" s="302">
        <f t="shared" si="37"/>
        <v>16.666388099615578</v>
      </c>
      <c r="CF17" s="302">
        <f>Кад!C42</f>
        <v>0</v>
      </c>
      <c r="CG17" s="453">
        <f>Кад!D42</f>
        <v>0</v>
      </c>
      <c r="CH17" s="302" t="e">
        <f t="shared" si="38"/>
        <v>#DIV/0!</v>
      </c>
      <c r="CI17" s="295">
        <f>Кад!C43</f>
        <v>2139.08</v>
      </c>
      <c r="CJ17" s="302">
        <f>Кад!D43</f>
        <v>79.703999999999994</v>
      </c>
      <c r="CK17" s="302">
        <f t="shared" si="7"/>
        <v>3.7260878508517679</v>
      </c>
      <c r="CL17" s="302">
        <f>Кад!C45</f>
        <v>183.38800000000001</v>
      </c>
      <c r="CM17" s="302">
        <f>Кад!D45</f>
        <v>29.866599999999998</v>
      </c>
      <c r="CN17" s="302">
        <f t="shared" si="8"/>
        <v>16.286016533251903</v>
      </c>
      <c r="CO17" s="302">
        <f>Кад!C46</f>
        <v>0</v>
      </c>
      <c r="CP17" s="302">
        <f>Кад!D46</f>
        <v>0</v>
      </c>
      <c r="CQ17" s="295" t="e">
        <f t="shared" si="39"/>
        <v>#DIV/0!</v>
      </c>
      <c r="CR17" s="314">
        <f>Кад!C47</f>
        <v>0</v>
      </c>
      <c r="CS17" s="302">
        <f>Кад!D47</f>
        <v>0</v>
      </c>
      <c r="CT17" s="302" t="e">
        <f t="shared" si="9"/>
        <v>#DIV/0!</v>
      </c>
      <c r="CU17" s="302"/>
      <c r="CV17" s="302"/>
      <c r="CW17" s="302"/>
      <c r="CX17" s="310"/>
      <c r="CY17" s="310"/>
      <c r="CZ17" s="302" t="e">
        <f t="shared" si="40"/>
        <v>#DIV/0!</v>
      </c>
      <c r="DA17" s="302"/>
      <c r="DB17" s="302"/>
      <c r="DC17" s="302"/>
      <c r="DD17" s="302"/>
      <c r="DE17" s="302"/>
      <c r="DF17" s="302"/>
      <c r="DG17" s="304">
        <f t="shared" si="41"/>
        <v>8075.3579999999993</v>
      </c>
      <c r="DH17" s="304">
        <f t="shared" si="41"/>
        <v>732.11432000000002</v>
      </c>
      <c r="DI17" s="302">
        <f t="shared" si="42"/>
        <v>9.0660292707766033</v>
      </c>
      <c r="DJ17" s="310">
        <f t="shared" si="43"/>
        <v>1690.934</v>
      </c>
      <c r="DK17" s="310">
        <f t="shared" si="43"/>
        <v>161.53971999999999</v>
      </c>
      <c r="DL17" s="302">
        <f t="shared" si="44"/>
        <v>9.5532835699087002</v>
      </c>
      <c r="DM17" s="302">
        <f>Кад!C57</f>
        <v>1637</v>
      </c>
      <c r="DN17" s="302">
        <f>Кад!D57</f>
        <v>161.53971999999999</v>
      </c>
      <c r="DO17" s="302">
        <f t="shared" si="45"/>
        <v>9.868034208918754</v>
      </c>
      <c r="DP17" s="302">
        <f>Кад!C60</f>
        <v>44</v>
      </c>
      <c r="DQ17" s="302">
        <f>Кад!D60</f>
        <v>0</v>
      </c>
      <c r="DR17" s="302">
        <f t="shared" si="46"/>
        <v>0</v>
      </c>
      <c r="DS17" s="302">
        <f>Кад!C61</f>
        <v>5</v>
      </c>
      <c r="DT17" s="302">
        <f>Кад!D61</f>
        <v>0</v>
      </c>
      <c r="DU17" s="302">
        <f t="shared" si="47"/>
        <v>0</v>
      </c>
      <c r="DV17" s="302">
        <f>Кад!C62</f>
        <v>4.9340000000000002</v>
      </c>
      <c r="DW17" s="302">
        <f>Кад!D62</f>
        <v>0</v>
      </c>
      <c r="DX17" s="302">
        <f t="shared" si="48"/>
        <v>0</v>
      </c>
      <c r="DY17" s="302">
        <f>Кад!C64</f>
        <v>179.208</v>
      </c>
      <c r="DZ17" s="302">
        <f>Кад!D64</f>
        <v>17.79326</v>
      </c>
      <c r="EA17" s="302">
        <f t="shared" si="49"/>
        <v>9.9288313021740091</v>
      </c>
      <c r="EB17" s="302">
        <f>Кад!C65</f>
        <v>6</v>
      </c>
      <c r="EC17" s="302">
        <f>Кад!D65</f>
        <v>0</v>
      </c>
      <c r="ED17" s="302">
        <f t="shared" si="50"/>
        <v>0</v>
      </c>
      <c r="EE17" s="310">
        <f>Кад!C71</f>
        <v>2199.491</v>
      </c>
      <c r="EF17" s="310">
        <f>Кад!D71</f>
        <v>165.60649999999998</v>
      </c>
      <c r="EG17" s="302">
        <f t="shared" si="51"/>
        <v>7.5293101904031419</v>
      </c>
      <c r="EH17" s="310">
        <f>Кад!C76</f>
        <v>2022.5250000000001</v>
      </c>
      <c r="EI17" s="310">
        <f>Кад!D76</f>
        <v>87.174840000000003</v>
      </c>
      <c r="EJ17" s="302">
        <f t="shared" si="52"/>
        <v>4.3101983906255796</v>
      </c>
      <c r="EK17" s="310">
        <f>Кад!C80</f>
        <v>1975.2</v>
      </c>
      <c r="EL17" s="315">
        <f>Кад!D80</f>
        <v>300</v>
      </c>
      <c r="EM17" s="302">
        <f t="shared" si="10"/>
        <v>15.188335358444712</v>
      </c>
      <c r="EN17" s="302">
        <f>Кад!C82</f>
        <v>0</v>
      </c>
      <c r="EO17" s="302">
        <f>Кад!D82</f>
        <v>0</v>
      </c>
      <c r="EP17" s="302" t="e">
        <f t="shared" si="11"/>
        <v>#DIV/0!</v>
      </c>
      <c r="EQ17" s="316">
        <f>Кад!C87</f>
        <v>2</v>
      </c>
      <c r="ER17" s="316">
        <f>Кад!D87</f>
        <v>0</v>
      </c>
      <c r="ES17" s="302">
        <f t="shared" si="53"/>
        <v>0</v>
      </c>
      <c r="ET17" s="302">
        <f>Кад!C93</f>
        <v>0</v>
      </c>
      <c r="EU17" s="302">
        <f>Кад!D93</f>
        <v>0</v>
      </c>
      <c r="EV17" s="295" t="e">
        <f t="shared" si="54"/>
        <v>#DIV/0!</v>
      </c>
      <c r="EW17" s="309">
        <f t="shared" si="12"/>
        <v>9.0949470177292824E-13</v>
      </c>
      <c r="EX17" s="309">
        <f t="shared" si="13"/>
        <v>16.647579999999948</v>
      </c>
      <c r="EY17" s="295">
        <f>EX17/EW17*100</f>
        <v>1830420778433112.5</v>
      </c>
      <c r="EZ17" s="164"/>
      <c r="FA17" s="165"/>
      <c r="FC17" s="165"/>
    </row>
    <row r="18" spans="1:170" s="174" customFormat="1" ht="20.25" customHeight="1">
      <c r="A18" s="341">
        <v>5</v>
      </c>
      <c r="B18" s="342" t="s">
        <v>293</v>
      </c>
      <c r="C18" s="319">
        <f t="shared" si="14"/>
        <v>20212.574009999997</v>
      </c>
      <c r="D18" s="320">
        <f t="shared" si="0"/>
        <v>1965.5841499999999</v>
      </c>
      <c r="E18" s="305">
        <f t="shared" si="1"/>
        <v>9.7245613004436944</v>
      </c>
      <c r="F18" s="296">
        <f t="shared" si="15"/>
        <v>4882.71</v>
      </c>
      <c r="G18" s="321">
        <f t="shared" si="3"/>
        <v>593.43767000000003</v>
      </c>
      <c r="H18" s="305">
        <f t="shared" si="16"/>
        <v>12.153858615400056</v>
      </c>
      <c r="I18" s="298">
        <f>Мор!C6</f>
        <v>1917</v>
      </c>
      <c r="J18" s="445">
        <f>Мор!D6</f>
        <v>211.54826</v>
      </c>
      <c r="K18" s="305">
        <f t="shared" si="17"/>
        <v>11.035381324986959</v>
      </c>
      <c r="L18" s="305">
        <f>Мор!C8</f>
        <v>153.57</v>
      </c>
      <c r="M18" s="305">
        <f>Мор!D8</f>
        <v>28.846530000000001</v>
      </c>
      <c r="N18" s="305">
        <f t="shared" si="18"/>
        <v>18.783961711271736</v>
      </c>
      <c r="O18" s="305">
        <f>Мор!C9</f>
        <v>1.64</v>
      </c>
      <c r="P18" s="458">
        <f>Мор!D9</f>
        <v>0.18078</v>
      </c>
      <c r="Q18" s="305">
        <f t="shared" si="19"/>
        <v>11.023170731707317</v>
      </c>
      <c r="R18" s="305">
        <f>Мор!C10</f>
        <v>256.5</v>
      </c>
      <c r="S18" s="305">
        <f>Мор!D10</f>
        <v>41.291980000000002</v>
      </c>
      <c r="T18" s="305">
        <f t="shared" si="20"/>
        <v>16.098237816764133</v>
      </c>
      <c r="U18" s="305">
        <f>Мор!C11</f>
        <v>0</v>
      </c>
      <c r="V18" s="322">
        <f>Мор!D11</f>
        <v>-5.6316199999999998</v>
      </c>
      <c r="W18" s="305" t="e">
        <f t="shared" si="21"/>
        <v>#DIV/0!</v>
      </c>
      <c r="X18" s="304">
        <f>Мор!C13</f>
        <v>75</v>
      </c>
      <c r="Y18" s="304">
        <f>Мор!D13</f>
        <v>0</v>
      </c>
      <c r="Z18" s="305">
        <f t="shared" si="22"/>
        <v>0</v>
      </c>
      <c r="AA18" s="304">
        <f>Мор!C15</f>
        <v>980</v>
      </c>
      <c r="AB18" s="301">
        <f>Мор!D15</f>
        <v>49.820329999999998</v>
      </c>
      <c r="AC18" s="305">
        <f t="shared" si="23"/>
        <v>5.0837071428571425</v>
      </c>
      <c r="AD18" s="304">
        <f>Мор!C16</f>
        <v>1499</v>
      </c>
      <c r="AE18" s="304">
        <f>Мор!D16</f>
        <v>267.38141000000002</v>
      </c>
      <c r="AF18" s="305">
        <f t="shared" si="4"/>
        <v>17.837318879252837</v>
      </c>
      <c r="AG18" s="305">
        <f>Мор!C18</f>
        <v>0</v>
      </c>
      <c r="AH18" s="305">
        <f>Мор!D18</f>
        <v>0</v>
      </c>
      <c r="AI18" s="305" t="e">
        <f t="shared" si="24"/>
        <v>#DIV/0!</v>
      </c>
      <c r="AJ18" s="305">
        <f>Мор!C22</f>
        <v>0</v>
      </c>
      <c r="AK18" s="305">
        <f>Мор!D22</f>
        <v>0</v>
      </c>
      <c r="AL18" s="305" t="e">
        <f t="shared" si="5"/>
        <v>#DIV/0!</v>
      </c>
      <c r="AM18" s="304">
        <v>0</v>
      </c>
      <c r="AN18" s="304"/>
      <c r="AO18" s="305" t="e">
        <f t="shared" si="6"/>
        <v>#DIV/0!</v>
      </c>
      <c r="AP18" s="304">
        <f>Мор!C27</f>
        <v>0</v>
      </c>
      <c r="AQ18" s="311">
        <f>Мор!D27</f>
        <v>0</v>
      </c>
      <c r="AR18" s="305" t="e">
        <f t="shared" si="25"/>
        <v>#DIV/0!</v>
      </c>
      <c r="AS18" s="304">
        <f>Мор!C28</f>
        <v>0</v>
      </c>
      <c r="AT18" s="301">
        <f>Мор!D28</f>
        <v>0</v>
      </c>
      <c r="AU18" s="305" t="e">
        <f t="shared" si="26"/>
        <v>#DIV/0!</v>
      </c>
      <c r="AV18" s="304"/>
      <c r="AW18" s="304"/>
      <c r="AX18" s="305" t="e">
        <f t="shared" si="27"/>
        <v>#DIV/0!</v>
      </c>
      <c r="AY18" s="305">
        <f>Мор!C29</f>
        <v>0</v>
      </c>
      <c r="AZ18" s="305">
        <f>Мор!D29</f>
        <v>0</v>
      </c>
      <c r="BA18" s="305" t="e">
        <f t="shared" si="28"/>
        <v>#DIV/0!</v>
      </c>
      <c r="BB18" s="305"/>
      <c r="BC18" s="305"/>
      <c r="BD18" s="305"/>
      <c r="BE18" s="305">
        <f>Мор!C33</f>
        <v>0</v>
      </c>
      <c r="BF18" s="305">
        <f>Мор!D33</f>
        <v>0</v>
      </c>
      <c r="BG18" s="305" t="e">
        <f>Мор!E33</f>
        <v>#DIV/0!</v>
      </c>
      <c r="BH18" s="305">
        <f>Мор!F33</f>
        <v>0</v>
      </c>
      <c r="BI18" s="305">
        <f>Мор!G33</f>
        <v>0</v>
      </c>
      <c r="BJ18" s="305">
        <f>Мор!H33</f>
        <v>0</v>
      </c>
      <c r="BK18" s="305">
        <f>Мор!I33</f>
        <v>0</v>
      </c>
      <c r="BL18" s="305">
        <f>Мор!J33</f>
        <v>0</v>
      </c>
      <c r="BM18" s="305">
        <f>Мор!K33</f>
        <v>0</v>
      </c>
      <c r="BN18" s="305">
        <f>Мор!C34</f>
        <v>0</v>
      </c>
      <c r="BO18" s="305">
        <f>Мор!D34</f>
        <v>0</v>
      </c>
      <c r="BP18" s="295" t="e">
        <f t="shared" si="31"/>
        <v>#DIV/0!</v>
      </c>
      <c r="BQ18" s="305">
        <f>Мор!C36</f>
        <v>0</v>
      </c>
      <c r="BR18" s="305">
        <f>Мор!D36</f>
        <v>0</v>
      </c>
      <c r="BS18" s="305" t="e">
        <f t="shared" si="32"/>
        <v>#DIV/0!</v>
      </c>
      <c r="BT18" s="305"/>
      <c r="BU18" s="305"/>
      <c r="BV18" s="323" t="e">
        <f t="shared" si="33"/>
        <v>#DIV/0!</v>
      </c>
      <c r="BW18" s="323"/>
      <c r="BX18" s="323"/>
      <c r="BY18" s="323" t="e">
        <f t="shared" si="34"/>
        <v>#DIV/0!</v>
      </c>
      <c r="BZ18" s="304">
        <f t="shared" si="35"/>
        <v>15329.864009999998</v>
      </c>
      <c r="CA18" s="300">
        <f t="shared" si="36"/>
        <v>1372.1464799999999</v>
      </c>
      <c r="CB18" s="305">
        <f t="shared" ref="CB18:CB31" si="55">CA18/BZ18*100</f>
        <v>8.9508066027521149</v>
      </c>
      <c r="CC18" s="305">
        <f>Мор!C41</f>
        <v>5155.8</v>
      </c>
      <c r="CD18" s="305">
        <f>Мор!D41</f>
        <v>859.28599999999994</v>
      </c>
      <c r="CE18" s="305">
        <f t="shared" si="37"/>
        <v>16.666395127817214</v>
      </c>
      <c r="CF18" s="305">
        <f>Мор!C42</f>
        <v>0</v>
      </c>
      <c r="CG18" s="454">
        <f>Мор!D42</f>
        <v>0</v>
      </c>
      <c r="CH18" s="305" t="e">
        <f t="shared" si="38"/>
        <v>#DIV/0!</v>
      </c>
      <c r="CI18" s="305">
        <f>Мор!C43</f>
        <v>9700.1703999999991</v>
      </c>
      <c r="CJ18" s="305">
        <f>Мор!D43</f>
        <v>38.918999999999997</v>
      </c>
      <c r="CK18" s="305">
        <f t="shared" si="7"/>
        <v>0.40121975589212333</v>
      </c>
      <c r="CL18" s="305">
        <f>Мор!C45</f>
        <v>11.71</v>
      </c>
      <c r="CM18" s="305">
        <f>Мор!D45</f>
        <v>0</v>
      </c>
      <c r="CN18" s="305">
        <f t="shared" si="8"/>
        <v>0</v>
      </c>
      <c r="CO18" s="305">
        <f>Мор!C46</f>
        <v>0</v>
      </c>
      <c r="CP18" s="305">
        <f>Мор!D46</f>
        <v>0</v>
      </c>
      <c r="CQ18" s="295" t="e">
        <f t="shared" si="39"/>
        <v>#DIV/0!</v>
      </c>
      <c r="CR18" s="322">
        <f>Мор!C48</f>
        <v>462.18360999999999</v>
      </c>
      <c r="CS18" s="305">
        <f>Мор!D48</f>
        <v>473.94148000000001</v>
      </c>
      <c r="CT18" s="305">
        <f t="shared" si="9"/>
        <v>102.54398246618915</v>
      </c>
      <c r="CU18" s="305"/>
      <c r="CV18" s="305"/>
      <c r="CW18" s="305"/>
      <c r="CX18" s="304"/>
      <c r="CY18" s="304"/>
      <c r="CZ18" s="305" t="e">
        <f t="shared" si="40"/>
        <v>#DIV/0!</v>
      </c>
      <c r="DA18" s="305"/>
      <c r="DB18" s="305"/>
      <c r="DC18" s="305"/>
      <c r="DD18" s="305"/>
      <c r="DE18" s="305"/>
      <c r="DF18" s="305"/>
      <c r="DG18" s="304">
        <f t="shared" si="41"/>
        <v>20324.932550000001</v>
      </c>
      <c r="DH18" s="304">
        <f t="shared" si="41"/>
        <v>1411.3901699999999</v>
      </c>
      <c r="DI18" s="305">
        <f t="shared" si="42"/>
        <v>6.9441321221014336</v>
      </c>
      <c r="DJ18" s="304">
        <f t="shared" si="43"/>
        <v>2086.0649999999996</v>
      </c>
      <c r="DK18" s="304">
        <f t="shared" si="43"/>
        <v>269.72325000000001</v>
      </c>
      <c r="DL18" s="305">
        <f t="shared" si="44"/>
        <v>12.929762495416014</v>
      </c>
      <c r="DM18" s="305">
        <f>Мор!C58</f>
        <v>1909.2</v>
      </c>
      <c r="DN18" s="305">
        <f>Мор!D58</f>
        <v>262.72325000000001</v>
      </c>
      <c r="DO18" s="305">
        <f t="shared" si="45"/>
        <v>13.760907710035616</v>
      </c>
      <c r="DP18" s="305">
        <f>Мор!C61</f>
        <v>90</v>
      </c>
      <c r="DQ18" s="305">
        <f>Мор!D61</f>
        <v>0</v>
      </c>
      <c r="DR18" s="305">
        <f t="shared" si="46"/>
        <v>0</v>
      </c>
      <c r="DS18" s="305">
        <f>Мор!C62</f>
        <v>55</v>
      </c>
      <c r="DT18" s="305">
        <f>Мор!D62</f>
        <v>0</v>
      </c>
      <c r="DU18" s="305">
        <f t="shared" si="47"/>
        <v>0</v>
      </c>
      <c r="DV18" s="305">
        <f>Мор!C63</f>
        <v>31.864999999999998</v>
      </c>
      <c r="DW18" s="305">
        <f>Мор!D63</f>
        <v>7</v>
      </c>
      <c r="DX18" s="305">
        <f t="shared" si="48"/>
        <v>21.967676133689</v>
      </c>
      <c r="DY18" s="305">
        <f>Мор!C64</f>
        <v>0</v>
      </c>
      <c r="DZ18" s="305">
        <f>Мор!D64</f>
        <v>0</v>
      </c>
      <c r="EA18" s="305" t="e">
        <f t="shared" si="49"/>
        <v>#DIV/0!</v>
      </c>
      <c r="EB18" s="305">
        <f>Мор!C66</f>
        <v>112</v>
      </c>
      <c r="EC18" s="305">
        <f>Мор!D66</f>
        <v>0</v>
      </c>
      <c r="ED18" s="305">
        <f t="shared" si="50"/>
        <v>0</v>
      </c>
      <c r="EE18" s="304">
        <f>Мор!C72</f>
        <v>3272.50515</v>
      </c>
      <c r="EF18" s="304">
        <f>Мор!D72</f>
        <v>255.50131999999999</v>
      </c>
      <c r="EG18" s="305">
        <f t="shared" si="51"/>
        <v>7.8075146803053928</v>
      </c>
      <c r="EH18" s="304">
        <f>Мор!C77</f>
        <v>10372.5494</v>
      </c>
      <c r="EI18" s="304">
        <f>Мор!D77</f>
        <v>143.2996</v>
      </c>
      <c r="EJ18" s="305">
        <f t="shared" si="52"/>
        <v>1.3815272839288673</v>
      </c>
      <c r="EK18" s="304">
        <f>Мор!C81</f>
        <v>4457.2</v>
      </c>
      <c r="EL18" s="324">
        <f>Мор!D81</f>
        <v>742.86599999999999</v>
      </c>
      <c r="EM18" s="305">
        <f t="shared" si="10"/>
        <v>16.666651709593467</v>
      </c>
      <c r="EN18" s="305">
        <f>Мор!C84</f>
        <v>0</v>
      </c>
      <c r="EO18" s="305">
        <f>Мор!D84</f>
        <v>0</v>
      </c>
      <c r="EP18" s="305" t="e">
        <f t="shared" si="11"/>
        <v>#DIV/0!</v>
      </c>
      <c r="EQ18" s="321">
        <f>Мор!C89</f>
        <v>24.613</v>
      </c>
      <c r="ER18" s="321">
        <f>Мор!D89</f>
        <v>0</v>
      </c>
      <c r="ES18" s="305">
        <f t="shared" si="53"/>
        <v>0</v>
      </c>
      <c r="ET18" s="305">
        <f>Мор!C95</f>
        <v>0</v>
      </c>
      <c r="EU18" s="305">
        <f>Мор!D95</f>
        <v>0</v>
      </c>
      <c r="EV18" s="305" t="e">
        <f t="shared" si="54"/>
        <v>#DIV/0!</v>
      </c>
      <c r="EW18" s="325">
        <f t="shared" si="12"/>
        <v>-112.35854000000472</v>
      </c>
      <c r="EX18" s="325">
        <f t="shared" si="13"/>
        <v>554.19398000000001</v>
      </c>
      <c r="EY18" s="305">
        <f t="shared" ref="EY18:EY30" si="56">EX18/EW18*100</f>
        <v>-493.23707837426218</v>
      </c>
      <c r="EZ18" s="172"/>
      <c r="FA18" s="173"/>
      <c r="FC18" s="173"/>
    </row>
    <row r="19" spans="1:170" s="253" customFormat="1" ht="27.75" customHeight="1">
      <c r="A19" s="343">
        <v>6</v>
      </c>
      <c r="B19" s="340" t="s">
        <v>294</v>
      </c>
      <c r="C19" s="317">
        <f t="shared" si="14"/>
        <v>10625.218000000001</v>
      </c>
      <c r="D19" s="294">
        <f t="shared" si="0"/>
        <v>1583.9498100000001</v>
      </c>
      <c r="E19" s="302">
        <f t="shared" si="1"/>
        <v>14.907457051704728</v>
      </c>
      <c r="F19" s="296">
        <f t="shared" si="15"/>
        <v>5018.6900000000005</v>
      </c>
      <c r="G19" s="316">
        <f t="shared" si="3"/>
        <v>964.59621000000004</v>
      </c>
      <c r="H19" s="302">
        <f t="shared" si="16"/>
        <v>19.220079542669499</v>
      </c>
      <c r="I19" s="310">
        <f>Мос!C6</f>
        <v>1607.1</v>
      </c>
      <c r="J19" s="446">
        <f>Мос!D6</f>
        <v>301.89855999999997</v>
      </c>
      <c r="K19" s="302">
        <f t="shared" si="17"/>
        <v>18.785300230228362</v>
      </c>
      <c r="L19" s="302">
        <f>Мос!C8</f>
        <v>288.18</v>
      </c>
      <c r="M19" s="302">
        <f>Мос!D8</f>
        <v>54.131819999999998</v>
      </c>
      <c r="N19" s="302">
        <f t="shared" si="18"/>
        <v>18.784030814074534</v>
      </c>
      <c r="O19" s="302">
        <f>Мос!C9</f>
        <v>3.09</v>
      </c>
      <c r="P19" s="459">
        <f>Мос!D9</f>
        <v>0.33922999999999998</v>
      </c>
      <c r="Q19" s="302">
        <f t="shared" si="19"/>
        <v>10.978317152103561</v>
      </c>
      <c r="R19" s="302">
        <f>Мос!C10</f>
        <v>481.32</v>
      </c>
      <c r="S19" s="302">
        <f>Мос!D10</f>
        <v>77.48621</v>
      </c>
      <c r="T19" s="302">
        <f t="shared" si="20"/>
        <v>16.098689021856561</v>
      </c>
      <c r="U19" s="302">
        <f>Мос!C11</f>
        <v>0</v>
      </c>
      <c r="V19" s="314">
        <f>Мос!D11</f>
        <v>-10.568049999999999</v>
      </c>
      <c r="W19" s="302" t="e">
        <f t="shared" si="21"/>
        <v>#DIV/0!</v>
      </c>
      <c r="X19" s="310">
        <f>Мос!C13</f>
        <v>30</v>
      </c>
      <c r="Y19" s="310">
        <f>Мос!D13</f>
        <v>7.1999999999999995E-2</v>
      </c>
      <c r="Z19" s="302">
        <f t="shared" si="22"/>
        <v>0.24</v>
      </c>
      <c r="AA19" s="310">
        <f>Мос!C15</f>
        <v>450</v>
      </c>
      <c r="AB19" s="301">
        <f>Мос!D15</f>
        <v>342.21944999999999</v>
      </c>
      <c r="AC19" s="302">
        <f t="shared" si="23"/>
        <v>76.048766666666666</v>
      </c>
      <c r="AD19" s="310">
        <f>Мос!C16</f>
        <v>2151</v>
      </c>
      <c r="AE19" s="310">
        <f>Мос!D16</f>
        <v>198.61698999999999</v>
      </c>
      <c r="AF19" s="302">
        <f t="shared" si="4"/>
        <v>9.2337047884704795</v>
      </c>
      <c r="AG19" s="302">
        <f>Мос!C18</f>
        <v>8</v>
      </c>
      <c r="AH19" s="302">
        <f>Мос!D18</f>
        <v>0.4</v>
      </c>
      <c r="AI19" s="302">
        <f t="shared" si="24"/>
        <v>5</v>
      </c>
      <c r="AJ19" s="302"/>
      <c r="AK19" s="302"/>
      <c r="AL19" s="302" t="e">
        <f t="shared" si="5"/>
        <v>#DIV/0!</v>
      </c>
      <c r="AM19" s="310">
        <f>Мос!C27</f>
        <v>0</v>
      </c>
      <c r="AN19" s="310">
        <v>0</v>
      </c>
      <c r="AO19" s="302" t="e">
        <f t="shared" si="6"/>
        <v>#DIV/0!</v>
      </c>
      <c r="AP19" s="310">
        <v>0</v>
      </c>
      <c r="AQ19" s="311">
        <f>Мос!D27</f>
        <v>1.78</v>
      </c>
      <c r="AR19" s="302" t="e">
        <f t="shared" si="25"/>
        <v>#DIV/0!</v>
      </c>
      <c r="AS19" s="310">
        <f>Мос!C26</f>
        <v>0</v>
      </c>
      <c r="AT19" s="311">
        <f>Мос!D28</f>
        <v>0</v>
      </c>
      <c r="AU19" s="302" t="e">
        <f t="shared" si="26"/>
        <v>#DIV/0!</v>
      </c>
      <c r="AV19" s="310"/>
      <c r="AW19" s="310"/>
      <c r="AX19" s="302" t="e">
        <f t="shared" si="27"/>
        <v>#DIV/0!</v>
      </c>
      <c r="AY19" s="302">
        <f>Мос!C30</f>
        <v>0</v>
      </c>
      <c r="AZ19" s="305">
        <f>Мос!D30</f>
        <v>0</v>
      </c>
      <c r="BA19" s="302" t="e">
        <f t="shared" si="28"/>
        <v>#DIV/0!</v>
      </c>
      <c r="BB19" s="302"/>
      <c r="BC19" s="302"/>
      <c r="BD19" s="302"/>
      <c r="BE19" s="302">
        <f>Мос!C33</f>
        <v>0</v>
      </c>
      <c r="BF19" s="302">
        <f>Мос!D33</f>
        <v>0</v>
      </c>
      <c r="BG19" s="302" t="e">
        <f t="shared" si="29"/>
        <v>#DIV/0!</v>
      </c>
      <c r="BH19" s="302"/>
      <c r="BI19" s="302"/>
      <c r="BJ19" s="302" t="e">
        <f t="shared" si="30"/>
        <v>#DIV/0!</v>
      </c>
      <c r="BK19" s="302"/>
      <c r="BL19" s="302"/>
      <c r="BM19" s="302"/>
      <c r="BN19" s="302">
        <f>Мос!C34</f>
        <v>0</v>
      </c>
      <c r="BO19" s="302">
        <f>Мос!D35</f>
        <v>0</v>
      </c>
      <c r="BP19" s="295" t="e">
        <f t="shared" si="31"/>
        <v>#DIV/0!</v>
      </c>
      <c r="BQ19" s="302">
        <f>Мос!C36</f>
        <v>0</v>
      </c>
      <c r="BR19" s="302">
        <f>Мос!D36</f>
        <v>-1.78</v>
      </c>
      <c r="BS19" s="302" t="e">
        <f t="shared" si="32"/>
        <v>#DIV/0!</v>
      </c>
      <c r="BT19" s="302"/>
      <c r="BU19" s="302"/>
      <c r="BV19" s="312" t="e">
        <f t="shared" si="33"/>
        <v>#DIV/0!</v>
      </c>
      <c r="BW19" s="312"/>
      <c r="BX19" s="312"/>
      <c r="BY19" s="312" t="e">
        <f t="shared" si="34"/>
        <v>#DIV/0!</v>
      </c>
      <c r="BZ19" s="310">
        <f t="shared" si="35"/>
        <v>5606.5280000000002</v>
      </c>
      <c r="CA19" s="310">
        <f t="shared" si="36"/>
        <v>619.35360000000003</v>
      </c>
      <c r="CB19" s="302">
        <f t="shared" si="55"/>
        <v>11.047008059176731</v>
      </c>
      <c r="CC19" s="302">
        <v>0</v>
      </c>
      <c r="CD19" s="302">
        <v>0</v>
      </c>
      <c r="CE19" s="302" t="e">
        <f>CD19/CC19*100</f>
        <v>#DIV/0!</v>
      </c>
      <c r="CF19" s="302">
        <f>Мос!C42</f>
        <v>1300</v>
      </c>
      <c r="CG19" s="453">
        <f>Мос!D42</f>
        <v>0</v>
      </c>
      <c r="CH19" s="302">
        <f t="shared" si="38"/>
        <v>0</v>
      </c>
      <c r="CI19" s="302">
        <f>Мос!C43</f>
        <v>4123.1400000000003</v>
      </c>
      <c r="CJ19" s="302">
        <f>Мос!D43</f>
        <v>89.486999999999995</v>
      </c>
      <c r="CK19" s="302">
        <f t="shared" si="7"/>
        <v>2.1703604534408236</v>
      </c>
      <c r="CL19" s="302">
        <f>Мос!C45</f>
        <v>183.38800000000001</v>
      </c>
      <c r="CM19" s="302">
        <f>Мос!D45</f>
        <v>29.866599999999998</v>
      </c>
      <c r="CN19" s="302">
        <f t="shared" si="8"/>
        <v>16.286016533251903</v>
      </c>
      <c r="CO19" s="302">
        <f>Мос!C46</f>
        <v>0</v>
      </c>
      <c r="CP19" s="302">
        <f>Мос!D46</f>
        <v>0</v>
      </c>
      <c r="CQ19" s="295" t="e">
        <f t="shared" si="39"/>
        <v>#DIV/0!</v>
      </c>
      <c r="CR19" s="314">
        <f>Мос!C51</f>
        <v>0</v>
      </c>
      <c r="CS19" s="302">
        <f>Мос!D47</f>
        <v>500</v>
      </c>
      <c r="CT19" s="302" t="e">
        <f t="shared" si="9"/>
        <v>#DIV/0!</v>
      </c>
      <c r="CU19" s="302"/>
      <c r="CV19" s="302"/>
      <c r="CW19" s="302"/>
      <c r="CX19" s="310"/>
      <c r="CY19" s="310"/>
      <c r="CZ19" s="302" t="e">
        <f t="shared" si="40"/>
        <v>#DIV/0!</v>
      </c>
      <c r="DA19" s="302"/>
      <c r="DB19" s="302"/>
      <c r="DC19" s="302"/>
      <c r="DD19" s="302"/>
      <c r="DE19" s="302"/>
      <c r="DF19" s="302"/>
      <c r="DG19" s="304">
        <f t="shared" si="41"/>
        <v>10625.218000000001</v>
      </c>
      <c r="DH19" s="304">
        <f t="shared" si="41"/>
        <v>636.95244000000002</v>
      </c>
      <c r="DI19" s="302">
        <f t="shared" si="42"/>
        <v>5.9947234964967304</v>
      </c>
      <c r="DJ19" s="310">
        <f t="shared" si="43"/>
        <v>2234.732</v>
      </c>
      <c r="DK19" s="310">
        <f t="shared" si="43"/>
        <v>274.16917000000001</v>
      </c>
      <c r="DL19" s="302">
        <f t="shared" si="44"/>
        <v>12.268548085408003</v>
      </c>
      <c r="DM19" s="302">
        <f>Мос!C59</f>
        <v>2193.3000000000002</v>
      </c>
      <c r="DN19" s="302">
        <f>Мос!D59</f>
        <v>274.16917000000001</v>
      </c>
      <c r="DO19" s="302">
        <f t="shared" si="45"/>
        <v>12.500304107965166</v>
      </c>
      <c r="DP19" s="302">
        <f>Мос!C62</f>
        <v>32</v>
      </c>
      <c r="DQ19" s="302">
        <f>Мос!D62</f>
        <v>0</v>
      </c>
      <c r="DR19" s="302">
        <f t="shared" si="46"/>
        <v>0</v>
      </c>
      <c r="DS19" s="302">
        <f>Мос!C63</f>
        <v>5</v>
      </c>
      <c r="DT19" s="302">
        <f>Мос!D63</f>
        <v>0</v>
      </c>
      <c r="DU19" s="302">
        <f t="shared" si="47"/>
        <v>0</v>
      </c>
      <c r="DV19" s="302">
        <f>Мос!C64</f>
        <v>4.4320000000000004</v>
      </c>
      <c r="DW19" s="302">
        <f>Мос!D64</f>
        <v>0</v>
      </c>
      <c r="DX19" s="302">
        <f t="shared" si="48"/>
        <v>0</v>
      </c>
      <c r="DY19" s="302">
        <f>Мос!C66</f>
        <v>179.208</v>
      </c>
      <c r="DZ19" s="302">
        <f>Мос!D66</f>
        <v>21.15692</v>
      </c>
      <c r="EA19" s="302">
        <f t="shared" si="49"/>
        <v>11.805789920092852</v>
      </c>
      <c r="EB19" s="302">
        <f>Мос!C67</f>
        <v>6</v>
      </c>
      <c r="EC19" s="302">
        <f>Мос!D67</f>
        <v>0</v>
      </c>
      <c r="ED19" s="302">
        <f t="shared" si="50"/>
        <v>0</v>
      </c>
      <c r="EE19" s="310">
        <f>Мос!C73</f>
        <v>6485.27</v>
      </c>
      <c r="EF19" s="310">
        <f>Мос!D73</f>
        <v>148.03485000000001</v>
      </c>
      <c r="EG19" s="302">
        <f t="shared" si="51"/>
        <v>2.2826320261145638</v>
      </c>
      <c r="EH19" s="310">
        <f>Мос!C78</f>
        <v>476.00799999999998</v>
      </c>
      <c r="EI19" s="310">
        <f>Мос!D78</f>
        <v>193.5915</v>
      </c>
      <c r="EJ19" s="302">
        <f t="shared" si="52"/>
        <v>40.669799667232489</v>
      </c>
      <c r="EK19" s="310">
        <f>Мос!C83</f>
        <v>1212</v>
      </c>
      <c r="EL19" s="315">
        <f>Мос!D83</f>
        <v>0</v>
      </c>
      <c r="EM19" s="302">
        <f t="shared" si="10"/>
        <v>0</v>
      </c>
      <c r="EN19" s="302">
        <f>Мос!C91</f>
        <v>0</v>
      </c>
      <c r="EO19" s="302">
        <f>Мос!D91</f>
        <v>0</v>
      </c>
      <c r="EP19" s="302" t="e">
        <f t="shared" si="11"/>
        <v>#DIV/0!</v>
      </c>
      <c r="EQ19" s="316">
        <f>Мос!C93</f>
        <v>32</v>
      </c>
      <c r="ER19" s="316">
        <f>Мос!D93</f>
        <v>0</v>
      </c>
      <c r="ES19" s="302">
        <f t="shared" si="53"/>
        <v>0</v>
      </c>
      <c r="ET19" s="302">
        <f>Мос!C99</f>
        <v>0</v>
      </c>
      <c r="EU19" s="302">
        <f>Мос!D99</f>
        <v>0</v>
      </c>
      <c r="EV19" s="302" t="e">
        <f t="shared" si="54"/>
        <v>#DIV/0!</v>
      </c>
      <c r="EW19" s="326">
        <f t="shared" si="12"/>
        <v>0</v>
      </c>
      <c r="EX19" s="326">
        <f t="shared" si="13"/>
        <v>946.99737000000005</v>
      </c>
      <c r="EY19" s="302" t="e">
        <f t="shared" si="56"/>
        <v>#DIV/0!</v>
      </c>
      <c r="EZ19" s="251"/>
      <c r="FA19" s="252"/>
      <c r="FC19" s="252"/>
    </row>
    <row r="20" spans="1:170" s="162" customFormat="1" ht="24.75" customHeight="1">
      <c r="A20" s="338">
        <v>7</v>
      </c>
      <c r="B20" s="340" t="s">
        <v>295</v>
      </c>
      <c r="C20" s="293">
        <f t="shared" si="14"/>
        <v>7207.6929999999993</v>
      </c>
      <c r="D20" s="294">
        <f t="shared" si="0"/>
        <v>575.04138999999998</v>
      </c>
      <c r="E20" s="302">
        <f t="shared" si="1"/>
        <v>7.9781615282448914</v>
      </c>
      <c r="F20" s="296">
        <f t="shared" si="15"/>
        <v>2782.9399999999996</v>
      </c>
      <c r="G20" s="296">
        <f t="shared" si="3"/>
        <v>206.12378999999999</v>
      </c>
      <c r="H20" s="302">
        <f t="shared" si="16"/>
        <v>7.406691843877339</v>
      </c>
      <c r="I20" s="318">
        <f>Ори!C6</f>
        <v>187.5</v>
      </c>
      <c r="J20" s="445">
        <f>Ори!D6</f>
        <v>31.536549999999998</v>
      </c>
      <c r="K20" s="302">
        <f t="shared" si="17"/>
        <v>16.819493333333334</v>
      </c>
      <c r="L20" s="302">
        <f>Ори!C8</f>
        <v>183.91</v>
      </c>
      <c r="M20" s="302">
        <f>Ори!D8</f>
        <v>34.544629999999998</v>
      </c>
      <c r="N20" s="295">
        <f t="shared" si="18"/>
        <v>18.783442988418248</v>
      </c>
      <c r="O20" s="295">
        <f>Ори!C9</f>
        <v>1.97</v>
      </c>
      <c r="P20" s="330">
        <f>Ори!D9</f>
        <v>0.21648000000000001</v>
      </c>
      <c r="Q20" s="295">
        <f t="shared" si="19"/>
        <v>10.988832487309645</v>
      </c>
      <c r="R20" s="295">
        <f>Ори!C10</f>
        <v>307.16000000000003</v>
      </c>
      <c r="S20" s="295">
        <f>Ори!D10</f>
        <v>49.448439999999998</v>
      </c>
      <c r="T20" s="295">
        <f t="shared" si="20"/>
        <v>16.098593566870683</v>
      </c>
      <c r="U20" s="295">
        <f>Ори!C11</f>
        <v>0</v>
      </c>
      <c r="V20" s="299">
        <f>Ори!D11</f>
        <v>-6.7440699999999998</v>
      </c>
      <c r="W20" s="295" t="e">
        <f t="shared" si="21"/>
        <v>#DIV/0!</v>
      </c>
      <c r="X20" s="310">
        <f>Ори!C13</f>
        <v>30</v>
      </c>
      <c r="Y20" s="310">
        <f>Ори!D13</f>
        <v>0</v>
      </c>
      <c r="Z20" s="302">
        <f t="shared" si="22"/>
        <v>0</v>
      </c>
      <c r="AA20" s="310">
        <f>Ори!C15</f>
        <v>290</v>
      </c>
      <c r="AB20" s="301">
        <f>Ори!D15</f>
        <v>7.9936499999999997</v>
      </c>
      <c r="AC20" s="302">
        <f t="shared" si="23"/>
        <v>2.7564310344827585</v>
      </c>
      <c r="AD20" s="310">
        <f>Ори!C16</f>
        <v>1492</v>
      </c>
      <c r="AE20" s="310">
        <f>Ори!D16</f>
        <v>67.311139999999995</v>
      </c>
      <c r="AF20" s="302">
        <f t="shared" si="4"/>
        <v>4.5114705093833782</v>
      </c>
      <c r="AG20" s="302">
        <f>Ори!C18</f>
        <v>6</v>
      </c>
      <c r="AH20" s="302">
        <f>Ори!D18</f>
        <v>2.4500000000000002</v>
      </c>
      <c r="AI20" s="302">
        <f t="shared" si="24"/>
        <v>40.833333333333336</v>
      </c>
      <c r="AJ20" s="302"/>
      <c r="AK20" s="302"/>
      <c r="AL20" s="302" t="e">
        <f t="shared" si="5"/>
        <v>#DIV/0!</v>
      </c>
      <c r="AM20" s="310">
        <v>0</v>
      </c>
      <c r="AN20" s="310">
        <v>0</v>
      </c>
      <c r="AO20" s="302" t="e">
        <f t="shared" si="6"/>
        <v>#DIV/0!</v>
      </c>
      <c r="AP20" s="310">
        <f>Ори!C27</f>
        <v>230.4</v>
      </c>
      <c r="AQ20" s="311">
        <f>Ори!D27</f>
        <v>10.23612</v>
      </c>
      <c r="AR20" s="302">
        <f t="shared" si="25"/>
        <v>4.4427604166666663</v>
      </c>
      <c r="AS20" s="304">
        <f>Ори!C28</f>
        <v>54</v>
      </c>
      <c r="AT20" s="311">
        <f>Ори!D28</f>
        <v>9</v>
      </c>
      <c r="AU20" s="302">
        <f t="shared" si="26"/>
        <v>16.666666666666664</v>
      </c>
      <c r="AV20" s="310"/>
      <c r="AW20" s="310"/>
      <c r="AX20" s="302" t="e">
        <f t="shared" si="27"/>
        <v>#DIV/0!</v>
      </c>
      <c r="AY20" s="302">
        <f>Ори!C30</f>
        <v>0</v>
      </c>
      <c r="AZ20" s="305">
        <f>Ори!D30</f>
        <v>0.13084999999999999</v>
      </c>
      <c r="BA20" s="302" t="e">
        <f t="shared" si="28"/>
        <v>#DIV/0!</v>
      </c>
      <c r="BB20" s="302"/>
      <c r="BC20" s="302"/>
      <c r="BD20" s="302"/>
      <c r="BE20" s="302">
        <f>Ори!C33</f>
        <v>0</v>
      </c>
      <c r="BF20" s="302">
        <f>Ори!D33</f>
        <v>0</v>
      </c>
      <c r="BG20" s="302" t="e">
        <f t="shared" si="29"/>
        <v>#DIV/0!</v>
      </c>
      <c r="BH20" s="302"/>
      <c r="BI20" s="302"/>
      <c r="BJ20" s="302" t="e">
        <f t="shared" si="30"/>
        <v>#DIV/0!</v>
      </c>
      <c r="BK20" s="302"/>
      <c r="BL20" s="302"/>
      <c r="BM20" s="302"/>
      <c r="BN20" s="302">
        <f>Ори!C35</f>
        <v>0</v>
      </c>
      <c r="BO20" s="302">
        <f>Ори!D34</f>
        <v>0</v>
      </c>
      <c r="BP20" s="295" t="e">
        <f t="shared" si="31"/>
        <v>#DIV/0!</v>
      </c>
      <c r="BQ20" s="302">
        <f>Ори!C36</f>
        <v>0</v>
      </c>
      <c r="BR20" s="302">
        <f>Ори!D36</f>
        <v>0</v>
      </c>
      <c r="BS20" s="302" t="e">
        <f t="shared" si="32"/>
        <v>#DIV/0!</v>
      </c>
      <c r="BT20" s="302"/>
      <c r="BU20" s="302"/>
      <c r="BV20" s="312" t="e">
        <f t="shared" si="33"/>
        <v>#DIV/0!</v>
      </c>
      <c r="BW20" s="312"/>
      <c r="BX20" s="312"/>
      <c r="BY20" s="312" t="e">
        <f t="shared" si="34"/>
        <v>#DIV/0!</v>
      </c>
      <c r="BZ20" s="300">
        <f t="shared" si="35"/>
        <v>4424.7529999999997</v>
      </c>
      <c r="CA20" s="300">
        <f t="shared" si="36"/>
        <v>368.91759999999999</v>
      </c>
      <c r="CB20" s="302">
        <f t="shared" si="55"/>
        <v>8.3375863014274483</v>
      </c>
      <c r="CC20" s="302">
        <f>Ори!C41</f>
        <v>1597</v>
      </c>
      <c r="CD20" s="302">
        <f>Ори!D41</f>
        <v>266.16199999999998</v>
      </c>
      <c r="CE20" s="302">
        <f t="shared" si="37"/>
        <v>16.666374452097681</v>
      </c>
      <c r="CF20" s="302">
        <f>Ори!C42</f>
        <v>150</v>
      </c>
      <c r="CG20" s="453">
        <f>Ори!D42</f>
        <v>0</v>
      </c>
      <c r="CH20" s="302">
        <f t="shared" si="38"/>
        <v>0</v>
      </c>
      <c r="CI20" s="302">
        <f>Ори!C43</f>
        <v>2494.3649999999998</v>
      </c>
      <c r="CJ20" s="302">
        <f>Ори!D43</f>
        <v>72.888999999999996</v>
      </c>
      <c r="CK20" s="302">
        <f t="shared" si="7"/>
        <v>2.9221465182521404</v>
      </c>
      <c r="CL20" s="302">
        <f>Ори!C45</f>
        <v>183.38800000000001</v>
      </c>
      <c r="CM20" s="302">
        <f>Ори!D45</f>
        <v>29.866599999999998</v>
      </c>
      <c r="CN20" s="302">
        <f t="shared" si="8"/>
        <v>16.286016533251903</v>
      </c>
      <c r="CO20" s="302">
        <f>Ори!C46</f>
        <v>0</v>
      </c>
      <c r="CP20" s="302">
        <f>Ори!D46</f>
        <v>0</v>
      </c>
      <c r="CQ20" s="295" t="e">
        <f t="shared" si="39"/>
        <v>#DIV/0!</v>
      </c>
      <c r="CR20" s="314">
        <f>Ори!C47</f>
        <v>0</v>
      </c>
      <c r="CS20" s="302">
        <f>Ори!D47</f>
        <v>0</v>
      </c>
      <c r="CT20" s="302" t="e">
        <f t="shared" si="9"/>
        <v>#DIV/0!</v>
      </c>
      <c r="CU20" s="302"/>
      <c r="CV20" s="302"/>
      <c r="CW20" s="302"/>
      <c r="CX20" s="310"/>
      <c r="CY20" s="310"/>
      <c r="CZ20" s="302" t="e">
        <f t="shared" si="40"/>
        <v>#DIV/0!</v>
      </c>
      <c r="DA20" s="302"/>
      <c r="DB20" s="302"/>
      <c r="DC20" s="302"/>
      <c r="DD20" s="302"/>
      <c r="DE20" s="302"/>
      <c r="DF20" s="302"/>
      <c r="DG20" s="304">
        <f t="shared" si="41"/>
        <v>7207.6930000000002</v>
      </c>
      <c r="DH20" s="304">
        <f t="shared" si="41"/>
        <v>618.44768999999997</v>
      </c>
      <c r="DI20" s="302">
        <f t="shared" si="42"/>
        <v>8.5803833487358574</v>
      </c>
      <c r="DJ20" s="310">
        <f t="shared" si="43"/>
        <v>1491.9949999999999</v>
      </c>
      <c r="DK20" s="310">
        <f t="shared" si="43"/>
        <v>143.68393</v>
      </c>
      <c r="DL20" s="302">
        <f t="shared" si="44"/>
        <v>9.6303224876758975</v>
      </c>
      <c r="DM20" s="302">
        <f>Ори!C58</f>
        <v>1441</v>
      </c>
      <c r="DN20" s="302">
        <f>Ори!D58</f>
        <v>143.68393</v>
      </c>
      <c r="DO20" s="302">
        <f t="shared" si="45"/>
        <v>9.9711263011797371</v>
      </c>
      <c r="DP20" s="302">
        <f>Ори!C61</f>
        <v>42</v>
      </c>
      <c r="DQ20" s="302">
        <f>Ори!D61</f>
        <v>0</v>
      </c>
      <c r="DR20" s="302">
        <f t="shared" si="46"/>
        <v>0</v>
      </c>
      <c r="DS20" s="302">
        <f>Ори!C62</f>
        <v>5</v>
      </c>
      <c r="DT20" s="302">
        <f>Ори!D62</f>
        <v>0</v>
      </c>
      <c r="DU20" s="302">
        <f t="shared" si="47"/>
        <v>0</v>
      </c>
      <c r="DV20" s="302">
        <f>Ори!C63</f>
        <v>3.9950000000000001</v>
      </c>
      <c r="DW20" s="302">
        <f>Ори!D63</f>
        <v>0</v>
      </c>
      <c r="DX20" s="302">
        <f t="shared" si="48"/>
        <v>0</v>
      </c>
      <c r="DY20" s="302">
        <f>Ори!C65</f>
        <v>179.208</v>
      </c>
      <c r="DZ20" s="302">
        <f>Ори!D65</f>
        <v>19.795000000000002</v>
      </c>
      <c r="EA20" s="302">
        <f t="shared" si="49"/>
        <v>11.045823847149681</v>
      </c>
      <c r="EB20" s="302">
        <f>Ори!C66</f>
        <v>10</v>
      </c>
      <c r="EC20" s="302">
        <f>Ори!D66</f>
        <v>1.5</v>
      </c>
      <c r="ED20" s="302">
        <f t="shared" si="50"/>
        <v>15</v>
      </c>
      <c r="EE20" s="310">
        <f>Ори!C72</f>
        <v>3332.2249999999999</v>
      </c>
      <c r="EF20" s="310">
        <f>Ори!D72</f>
        <v>110.006</v>
      </c>
      <c r="EG20" s="302">
        <f t="shared" si="51"/>
        <v>3.3012776748268804</v>
      </c>
      <c r="EH20" s="310">
        <f>Ори!C77</f>
        <v>517.96500000000003</v>
      </c>
      <c r="EI20" s="310">
        <f>Ори!D77</f>
        <v>106.46276</v>
      </c>
      <c r="EJ20" s="302">
        <f t="shared" si="52"/>
        <v>20.554045157491334</v>
      </c>
      <c r="EK20" s="310">
        <f>Ори!C82</f>
        <v>1674.3</v>
      </c>
      <c r="EL20" s="315">
        <f>Ори!D82</f>
        <v>237</v>
      </c>
      <c r="EM20" s="302">
        <f t="shared" si="10"/>
        <v>14.155169324493819</v>
      </c>
      <c r="EN20" s="302">
        <f>Ори!C84</f>
        <v>0</v>
      </c>
      <c r="EO20" s="302">
        <f>Ори!D84</f>
        <v>0</v>
      </c>
      <c r="EP20" s="302" t="e">
        <f t="shared" si="11"/>
        <v>#DIV/0!</v>
      </c>
      <c r="EQ20" s="316">
        <f>Ори!C89</f>
        <v>2</v>
      </c>
      <c r="ER20" s="316">
        <f>Ори!D89</f>
        <v>0</v>
      </c>
      <c r="ES20" s="302">
        <f t="shared" si="53"/>
        <v>0</v>
      </c>
      <c r="ET20" s="302">
        <f>Ори!C95</f>
        <v>0</v>
      </c>
      <c r="EU20" s="302">
        <f>Ори!D95</f>
        <v>0</v>
      </c>
      <c r="EV20" s="295" t="e">
        <f t="shared" si="54"/>
        <v>#DIV/0!</v>
      </c>
      <c r="EW20" s="309">
        <f t="shared" si="12"/>
        <v>-9.0949470177292824E-13</v>
      </c>
      <c r="EX20" s="309">
        <f t="shared" si="13"/>
        <v>-43.406299999999987</v>
      </c>
      <c r="EY20" s="295">
        <f t="shared" si="56"/>
        <v>4772573156873338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24.75" customHeight="1">
      <c r="A21" s="338">
        <v>8</v>
      </c>
      <c r="B21" s="340" t="s">
        <v>296</v>
      </c>
      <c r="C21" s="293">
        <f t="shared" si="14"/>
        <v>9076.366</v>
      </c>
      <c r="D21" s="294">
        <f t="shared" si="0"/>
        <v>878.02709000000004</v>
      </c>
      <c r="E21" s="302">
        <f t="shared" si="1"/>
        <v>9.6737735124387889</v>
      </c>
      <c r="F21" s="296">
        <f t="shared" si="15"/>
        <v>2009.94</v>
      </c>
      <c r="G21" s="296">
        <f t="shared" si="3"/>
        <v>263.02249</v>
      </c>
      <c r="H21" s="302">
        <f t="shared" si="16"/>
        <v>13.086086649352715</v>
      </c>
      <c r="I21" s="310">
        <f>Сят!C6</f>
        <v>137.6</v>
      </c>
      <c r="J21" s="446">
        <f>Сят!D6</f>
        <v>12.33333</v>
      </c>
      <c r="K21" s="302">
        <f t="shared" si="17"/>
        <v>8.9631758720930232</v>
      </c>
      <c r="L21" s="302">
        <f>Сят!C8</f>
        <v>227.51</v>
      </c>
      <c r="M21" s="302">
        <f>Сят!D8</f>
        <v>42.735610000000001</v>
      </c>
      <c r="N21" s="295">
        <f t="shared" si="18"/>
        <v>18.784057843611272</v>
      </c>
      <c r="O21" s="295">
        <f>Сят!C9</f>
        <v>2.44</v>
      </c>
      <c r="P21" s="330">
        <f>Сят!D9</f>
        <v>0.26780999999999999</v>
      </c>
      <c r="Q21" s="295">
        <f t="shared" si="19"/>
        <v>10.975819672131147</v>
      </c>
      <c r="R21" s="295">
        <f>Сят!C10</f>
        <v>379.99</v>
      </c>
      <c r="S21" s="295">
        <f>Сят!D10</f>
        <v>61.173319999999997</v>
      </c>
      <c r="T21" s="295">
        <f t="shared" si="20"/>
        <v>16.098665754361953</v>
      </c>
      <c r="U21" s="295">
        <f>Сят!C11</f>
        <v>0</v>
      </c>
      <c r="V21" s="299">
        <f>Сят!D11</f>
        <v>-8.3431499999999996</v>
      </c>
      <c r="W21" s="295" t="e">
        <f t="shared" si="21"/>
        <v>#DIV/0!</v>
      </c>
      <c r="X21" s="310">
        <f>Сят!C13</f>
        <v>50</v>
      </c>
      <c r="Y21" s="310">
        <f>Сят!D13</f>
        <v>1.9523999999999999</v>
      </c>
      <c r="Z21" s="302">
        <f t="shared" si="22"/>
        <v>3.9047999999999998</v>
      </c>
      <c r="AA21" s="310">
        <f>Сят!C15</f>
        <v>150</v>
      </c>
      <c r="AB21" s="301">
        <f>Сят!D15</f>
        <v>7.5353599999999998</v>
      </c>
      <c r="AC21" s="302">
        <f t="shared" si="23"/>
        <v>5.0235733333333332</v>
      </c>
      <c r="AD21" s="310">
        <f>Сят!C16</f>
        <v>905</v>
      </c>
      <c r="AE21" s="310">
        <f>Сят!D16</f>
        <v>60.178849999999997</v>
      </c>
      <c r="AF21" s="302">
        <f t="shared" si="4"/>
        <v>6.6495966850828729</v>
      </c>
      <c r="AG21" s="302">
        <f>Сят!C18</f>
        <v>4</v>
      </c>
      <c r="AH21" s="302">
        <f>Сят!D18</f>
        <v>0.7</v>
      </c>
      <c r="AI21" s="302">
        <f t="shared" si="24"/>
        <v>17.5</v>
      </c>
      <c r="AJ21" s="302">
        <f>Сят!C22</f>
        <v>0</v>
      </c>
      <c r="AK21" s="302">
        <f>Сят!D20</f>
        <v>0</v>
      </c>
      <c r="AL21" s="302" t="e">
        <f t="shared" si="5"/>
        <v>#DIV/0!</v>
      </c>
      <c r="AM21" s="310">
        <v>0</v>
      </c>
      <c r="AN21" s="310">
        <v>0</v>
      </c>
      <c r="AO21" s="302" t="e">
        <f t="shared" si="6"/>
        <v>#DIV/0!</v>
      </c>
      <c r="AP21" s="310">
        <f>Сят!C27</f>
        <v>146.69999999999999</v>
      </c>
      <c r="AQ21" s="311">
        <f>Сят!D27</f>
        <v>83.36</v>
      </c>
      <c r="AR21" s="302">
        <f t="shared" si="25"/>
        <v>56.823449216087255</v>
      </c>
      <c r="AS21" s="304">
        <f>Сят!C28</f>
        <v>6.7</v>
      </c>
      <c r="AT21" s="311">
        <f>Сят!D28</f>
        <v>1.12896</v>
      </c>
      <c r="AU21" s="302">
        <f t="shared" si="26"/>
        <v>16.850149253731342</v>
      </c>
      <c r="AV21" s="310"/>
      <c r="AW21" s="310"/>
      <c r="AX21" s="302" t="e">
        <f t="shared" si="27"/>
        <v>#DIV/0!</v>
      </c>
      <c r="AY21" s="302">
        <f>Сят!C30</f>
        <v>0</v>
      </c>
      <c r="AZ21" s="305">
        <f>Сят!D30</f>
        <v>0</v>
      </c>
      <c r="BA21" s="302" t="e">
        <f t="shared" si="28"/>
        <v>#DIV/0!</v>
      </c>
      <c r="BB21" s="302"/>
      <c r="BC21" s="302"/>
      <c r="BD21" s="302"/>
      <c r="BE21" s="302">
        <f>Сят!C33</f>
        <v>0</v>
      </c>
      <c r="BF21" s="302">
        <f>Сят!D33</f>
        <v>0</v>
      </c>
      <c r="BG21" s="302" t="e">
        <f t="shared" si="29"/>
        <v>#DIV/0!</v>
      </c>
      <c r="BH21" s="302"/>
      <c r="BI21" s="302"/>
      <c r="BJ21" s="302" t="e">
        <f t="shared" si="30"/>
        <v>#DIV/0!</v>
      </c>
      <c r="BK21" s="302"/>
      <c r="BL21" s="302"/>
      <c r="BM21" s="302"/>
      <c r="BN21" s="302">
        <f>Сят!C34</f>
        <v>0</v>
      </c>
      <c r="BO21" s="302">
        <f>Сят!D34</f>
        <v>0</v>
      </c>
      <c r="BP21" s="295" t="e">
        <f t="shared" si="31"/>
        <v>#DIV/0!</v>
      </c>
      <c r="BQ21" s="302">
        <f>Сят!C36</f>
        <v>0</v>
      </c>
      <c r="BR21" s="302">
        <f>Сят!D36</f>
        <v>0</v>
      </c>
      <c r="BS21" s="302" t="e">
        <f t="shared" si="32"/>
        <v>#DIV/0!</v>
      </c>
      <c r="BT21" s="302"/>
      <c r="BU21" s="302"/>
      <c r="BV21" s="312" t="e">
        <f t="shared" si="33"/>
        <v>#DIV/0!</v>
      </c>
      <c r="BW21" s="312"/>
      <c r="BX21" s="312"/>
      <c r="BY21" s="312" t="e">
        <f t="shared" si="34"/>
        <v>#DIV/0!</v>
      </c>
      <c r="BZ21" s="300">
        <f t="shared" si="35"/>
        <v>7066.4259999999995</v>
      </c>
      <c r="CA21" s="300">
        <f t="shared" si="36"/>
        <v>615.00459999999998</v>
      </c>
      <c r="CB21" s="302">
        <f t="shared" si="55"/>
        <v>8.7031916841696209</v>
      </c>
      <c r="CC21" s="302">
        <f>Сят!C41</f>
        <v>3036.7</v>
      </c>
      <c r="CD21" s="302">
        <f>Сят!D41</f>
        <v>506.108</v>
      </c>
      <c r="CE21" s="302">
        <f t="shared" si="37"/>
        <v>16.666381269140846</v>
      </c>
      <c r="CF21" s="302">
        <f>Сят!C42</f>
        <v>0</v>
      </c>
      <c r="CG21" s="453">
        <f>Сят!D42</f>
        <v>0</v>
      </c>
      <c r="CH21" s="302" t="e">
        <f t="shared" si="38"/>
        <v>#DIV/0!</v>
      </c>
      <c r="CI21" s="302">
        <f>Сят!C43</f>
        <v>3847.5379999999996</v>
      </c>
      <c r="CJ21" s="302">
        <f>Сят!D43</f>
        <v>79.03</v>
      </c>
      <c r="CK21" s="302">
        <f t="shared" si="7"/>
        <v>2.0540407917998471</v>
      </c>
      <c r="CL21" s="302">
        <f>Сят!C44</f>
        <v>182.18799999999999</v>
      </c>
      <c r="CM21" s="302">
        <f>Сят!D44</f>
        <v>29.866599999999998</v>
      </c>
      <c r="CN21" s="302">
        <f t="shared" si="8"/>
        <v>16.393286056161767</v>
      </c>
      <c r="CO21" s="302">
        <f>Сят!C48</f>
        <v>0</v>
      </c>
      <c r="CP21" s="302">
        <f>Сят!D48</f>
        <v>0</v>
      </c>
      <c r="CQ21" s="295" t="e">
        <f t="shared" si="39"/>
        <v>#DIV/0!</v>
      </c>
      <c r="CR21" s="314">
        <f>Сят!C49</f>
        <v>0</v>
      </c>
      <c r="CS21" s="302">
        <f>Сят!D49</f>
        <v>0</v>
      </c>
      <c r="CT21" s="302" t="e">
        <f t="shared" si="9"/>
        <v>#DIV/0!</v>
      </c>
      <c r="CU21" s="302"/>
      <c r="CV21" s="302">
        <f>Сят!D50</f>
        <v>0</v>
      </c>
      <c r="CW21" s="302"/>
      <c r="CX21" s="310"/>
      <c r="CY21" s="310"/>
      <c r="CZ21" s="302" t="e">
        <f t="shared" si="40"/>
        <v>#DIV/0!</v>
      </c>
      <c r="DA21" s="302"/>
      <c r="DB21" s="302"/>
      <c r="DC21" s="302"/>
      <c r="DD21" s="302"/>
      <c r="DE21" s="302"/>
      <c r="DF21" s="302"/>
      <c r="DG21" s="304">
        <f t="shared" si="41"/>
        <v>9181.3660000000018</v>
      </c>
      <c r="DH21" s="304">
        <f t="shared" si="41"/>
        <v>685.92579000000001</v>
      </c>
      <c r="DI21" s="302">
        <f t="shared" si="42"/>
        <v>7.4708468217038719</v>
      </c>
      <c r="DJ21" s="310">
        <f t="shared" si="43"/>
        <v>1447.6510000000001</v>
      </c>
      <c r="DK21" s="310">
        <f>Сят!D56</f>
        <v>139.58251000000001</v>
      </c>
      <c r="DL21" s="302">
        <f t="shared" si="44"/>
        <v>9.6420000400649055</v>
      </c>
      <c r="DM21" s="302">
        <f>Сят!C58</f>
        <v>1396.2</v>
      </c>
      <c r="DN21" s="302">
        <f>Сят!D58</f>
        <v>139.58251000000001</v>
      </c>
      <c r="DO21" s="302">
        <f t="shared" si="45"/>
        <v>9.9973148546053583</v>
      </c>
      <c r="DP21" s="302">
        <f>Сят!C61</f>
        <v>42</v>
      </c>
      <c r="DQ21" s="302">
        <f>Сят!D61</f>
        <v>0</v>
      </c>
      <c r="DR21" s="302">
        <f t="shared" si="46"/>
        <v>0</v>
      </c>
      <c r="DS21" s="302">
        <f>Сят!C62</f>
        <v>5</v>
      </c>
      <c r="DT21" s="302">
        <f>Сят!D62</f>
        <v>0</v>
      </c>
      <c r="DU21" s="302">
        <f t="shared" si="47"/>
        <v>0</v>
      </c>
      <c r="DV21" s="302">
        <f>Сят!C63</f>
        <v>4.4509999999999996</v>
      </c>
      <c r="DW21" s="302">
        <f>Сят!D63</f>
        <v>0</v>
      </c>
      <c r="DX21" s="302">
        <f t="shared" si="48"/>
        <v>0</v>
      </c>
      <c r="DY21" s="302">
        <f>Сят!C65</f>
        <v>179.208</v>
      </c>
      <c r="DZ21" s="302">
        <f>Сят!D65</f>
        <v>20.593260000000001</v>
      </c>
      <c r="EA21" s="302">
        <f t="shared" si="49"/>
        <v>11.491261550823625</v>
      </c>
      <c r="EB21" s="302">
        <f>Сят!C66</f>
        <v>6</v>
      </c>
      <c r="EC21" s="302">
        <f>Сят!D66</f>
        <v>0</v>
      </c>
      <c r="ED21" s="302">
        <f t="shared" si="50"/>
        <v>0</v>
      </c>
      <c r="EE21" s="310">
        <f>Сят!C72</f>
        <v>4579.9070000000002</v>
      </c>
      <c r="EF21" s="310">
        <f>Сят!D72</f>
        <v>146.30199999999999</v>
      </c>
      <c r="EG21" s="302">
        <f t="shared" si="51"/>
        <v>3.1944316773244519</v>
      </c>
      <c r="EH21" s="310">
        <f>Сят!C77</f>
        <v>832.3</v>
      </c>
      <c r="EI21" s="310">
        <f>Сят!D77</f>
        <v>14.16</v>
      </c>
      <c r="EJ21" s="302">
        <f t="shared" si="52"/>
        <v>1.7013096239336778</v>
      </c>
      <c r="EK21" s="310">
        <f>Сят!C81</f>
        <v>2134.3000000000002</v>
      </c>
      <c r="EL21" s="315">
        <f>Сят!D81</f>
        <v>365.28802000000002</v>
      </c>
      <c r="EM21" s="302">
        <f t="shared" si="10"/>
        <v>17.115120648456166</v>
      </c>
      <c r="EN21" s="302">
        <f>Сят!C83</f>
        <v>0</v>
      </c>
      <c r="EO21" s="302">
        <f>Сят!D83</f>
        <v>0</v>
      </c>
      <c r="EP21" s="302" t="e">
        <f t="shared" si="11"/>
        <v>#DIV/0!</v>
      </c>
      <c r="EQ21" s="316">
        <f>Сят!C88</f>
        <v>2</v>
      </c>
      <c r="ER21" s="316">
        <f>Сят!D88</f>
        <v>0</v>
      </c>
      <c r="ES21" s="302">
        <f t="shared" si="53"/>
        <v>0</v>
      </c>
      <c r="ET21" s="302">
        <f>Сят!C94</f>
        <v>0</v>
      </c>
      <c r="EU21" s="302">
        <f>Сят!D94</f>
        <v>0</v>
      </c>
      <c r="EV21" s="295" t="e">
        <f t="shared" si="54"/>
        <v>#DIV/0!</v>
      </c>
      <c r="EW21" s="309">
        <f t="shared" si="12"/>
        <v>-105.00000000000182</v>
      </c>
      <c r="EX21" s="309">
        <f t="shared" si="13"/>
        <v>192.10130000000004</v>
      </c>
      <c r="EY21" s="295">
        <f t="shared" si="56"/>
        <v>-182.95361904761592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22.5" customHeight="1">
      <c r="A22" s="341">
        <v>9</v>
      </c>
      <c r="B22" s="342" t="s">
        <v>297</v>
      </c>
      <c r="C22" s="319">
        <f>F22+BZ22</f>
        <v>6929.1990000000005</v>
      </c>
      <c r="D22" s="320">
        <f t="shared" si="0"/>
        <v>495.17307999999997</v>
      </c>
      <c r="E22" s="305">
        <f t="shared" si="1"/>
        <v>7.1461806768718859</v>
      </c>
      <c r="F22" s="296">
        <f t="shared" si="15"/>
        <v>2309</v>
      </c>
      <c r="G22" s="321">
        <f t="shared" si="3"/>
        <v>285.39247999999998</v>
      </c>
      <c r="H22" s="305">
        <f t="shared" si="16"/>
        <v>12.360003464703334</v>
      </c>
      <c r="I22" s="304">
        <f>Тор!C6</f>
        <v>117.6</v>
      </c>
      <c r="J22" s="446">
        <f>Тор!D6</f>
        <v>15.22302</v>
      </c>
      <c r="K22" s="305">
        <f t="shared" si="17"/>
        <v>12.944744897959184</v>
      </c>
      <c r="L22" s="305">
        <f>Тор!C8</f>
        <v>315.67</v>
      </c>
      <c r="M22" s="305">
        <f>Тор!D8</f>
        <v>59.29571</v>
      </c>
      <c r="N22" s="305">
        <f t="shared" si="18"/>
        <v>18.784081477492318</v>
      </c>
      <c r="O22" s="305">
        <f>Тор!C9</f>
        <v>3.39</v>
      </c>
      <c r="P22" s="458">
        <f>Тор!D9</f>
        <v>0.37158000000000002</v>
      </c>
      <c r="Q22" s="305">
        <f t="shared" si="19"/>
        <v>10.961061946902655</v>
      </c>
      <c r="R22" s="305">
        <f>Тор!C10</f>
        <v>527.24</v>
      </c>
      <c r="S22" s="305">
        <f>Тор!D10</f>
        <v>84.877989999999997</v>
      </c>
      <c r="T22" s="305">
        <f t="shared" si="20"/>
        <v>16.098549047871934</v>
      </c>
      <c r="U22" s="305">
        <f>Тор!C11</f>
        <v>0</v>
      </c>
      <c r="V22" s="322">
        <f>Тор!D11</f>
        <v>-11.576180000000001</v>
      </c>
      <c r="W22" s="305" t="e">
        <f t="shared" si="21"/>
        <v>#DIV/0!</v>
      </c>
      <c r="X22" s="304">
        <f>Тор!C13</f>
        <v>30</v>
      </c>
      <c r="Y22" s="304">
        <f>Тор!D13</f>
        <v>0</v>
      </c>
      <c r="Z22" s="305">
        <f t="shared" si="22"/>
        <v>0</v>
      </c>
      <c r="AA22" s="304">
        <f>Тор!C15</f>
        <v>250</v>
      </c>
      <c r="AB22" s="301">
        <f>Тор!D15</f>
        <v>0.87050000000000005</v>
      </c>
      <c r="AC22" s="305">
        <f t="shared" si="23"/>
        <v>0.34820000000000001</v>
      </c>
      <c r="AD22" s="304">
        <f>Тор!C16</f>
        <v>388</v>
      </c>
      <c r="AE22" s="304">
        <f>Тор!D16</f>
        <v>16.415990000000001</v>
      </c>
      <c r="AF22" s="305">
        <f t="shared" si="4"/>
        <v>4.2309252577319585</v>
      </c>
      <c r="AG22" s="305">
        <f>Тор!C18</f>
        <v>8</v>
      </c>
      <c r="AH22" s="305">
        <f>Тор!D18</f>
        <v>0.6</v>
      </c>
      <c r="AI22" s="305">
        <f t="shared" si="24"/>
        <v>7.5</v>
      </c>
      <c r="AJ22" s="305"/>
      <c r="AK22" s="305">
        <f>Тор!D20</f>
        <v>0</v>
      </c>
      <c r="AL22" s="305" t="e">
        <f t="shared" si="5"/>
        <v>#DIV/0!</v>
      </c>
      <c r="AM22" s="304">
        <v>0</v>
      </c>
      <c r="AN22" s="304">
        <v>0</v>
      </c>
      <c r="AO22" s="305" t="e">
        <f t="shared" si="6"/>
        <v>#DIV/0!</v>
      </c>
      <c r="AP22" s="304">
        <f>Тор!C27</f>
        <v>592.1</v>
      </c>
      <c r="AQ22" s="301">
        <f>Тор!D27</f>
        <v>117.92</v>
      </c>
      <c r="AR22" s="305">
        <f t="shared" si="25"/>
        <v>19.915554804931599</v>
      </c>
      <c r="AS22" s="304">
        <f>Тор!C28</f>
        <v>77</v>
      </c>
      <c r="AT22" s="301">
        <f>Тор!D28</f>
        <v>1.0867</v>
      </c>
      <c r="AU22" s="305">
        <f t="shared" si="26"/>
        <v>1.4112987012987013</v>
      </c>
      <c r="AV22" s="304"/>
      <c r="AW22" s="304"/>
      <c r="AX22" s="305" t="e">
        <f t="shared" si="27"/>
        <v>#DIV/0!</v>
      </c>
      <c r="AY22" s="305">
        <f>Тор!C29</f>
        <v>0</v>
      </c>
      <c r="AZ22" s="305">
        <f>Тор!D29</f>
        <v>0.30717</v>
      </c>
      <c r="BA22" s="305" t="e">
        <f t="shared" si="28"/>
        <v>#DIV/0!</v>
      </c>
      <c r="BB22" s="305"/>
      <c r="BC22" s="305"/>
      <c r="BD22" s="305"/>
      <c r="BE22" s="305">
        <f>Тор!C34+Тор!C33</f>
        <v>0</v>
      </c>
      <c r="BF22" s="305">
        <f>Тор!D32</f>
        <v>0</v>
      </c>
      <c r="BG22" s="305" t="e">
        <f t="shared" si="29"/>
        <v>#DIV/0!</v>
      </c>
      <c r="BH22" s="305"/>
      <c r="BI22" s="305"/>
      <c r="BJ22" s="305" t="e">
        <f t="shared" si="30"/>
        <v>#DIV/0!</v>
      </c>
      <c r="BK22" s="305"/>
      <c r="BL22" s="305"/>
      <c r="BM22" s="305"/>
      <c r="BN22" s="305">
        <f>Тор!C35</f>
        <v>0</v>
      </c>
      <c r="BO22" s="305">
        <f>Тор!D35</f>
        <v>0</v>
      </c>
      <c r="BP22" s="295" t="e">
        <f t="shared" si="31"/>
        <v>#DIV/0!</v>
      </c>
      <c r="BQ22" s="305">
        <f>Тор!C37</f>
        <v>0</v>
      </c>
      <c r="BR22" s="305">
        <f>Тор!D37</f>
        <v>0</v>
      </c>
      <c r="BS22" s="305" t="e">
        <f t="shared" si="32"/>
        <v>#DIV/0!</v>
      </c>
      <c r="BT22" s="305"/>
      <c r="BU22" s="305"/>
      <c r="BV22" s="323" t="e">
        <f t="shared" si="33"/>
        <v>#DIV/0!</v>
      </c>
      <c r="BW22" s="323"/>
      <c r="BX22" s="323"/>
      <c r="BY22" s="323" t="e">
        <f t="shared" si="34"/>
        <v>#DIV/0!</v>
      </c>
      <c r="BZ22" s="304">
        <f t="shared" si="35"/>
        <v>4620.1990000000005</v>
      </c>
      <c r="CA22" s="300">
        <f t="shared" si="36"/>
        <v>209.78059999999999</v>
      </c>
      <c r="CB22" s="305">
        <f t="shared" si="55"/>
        <v>4.5405100516233174</v>
      </c>
      <c r="CC22" s="305">
        <f>Тор!C42</f>
        <v>1079.5</v>
      </c>
      <c r="CD22" s="305">
        <f>Тор!D42</f>
        <v>179.91399999999999</v>
      </c>
      <c r="CE22" s="305">
        <f t="shared" si="37"/>
        <v>16.666419638721631</v>
      </c>
      <c r="CF22" s="305">
        <f>Тор!C43</f>
        <v>100</v>
      </c>
      <c r="CG22" s="454">
        <f>Тор!D43</f>
        <v>0</v>
      </c>
      <c r="CH22" s="305">
        <f t="shared" si="38"/>
        <v>0</v>
      </c>
      <c r="CI22" s="305">
        <f>Тор!C44</f>
        <v>3258.511</v>
      </c>
      <c r="CJ22" s="305">
        <f>Тор!D44</f>
        <v>0</v>
      </c>
      <c r="CK22" s="305">
        <f t="shared" si="7"/>
        <v>0</v>
      </c>
      <c r="CL22" s="305">
        <f>Тор!C45</f>
        <v>182.18799999999999</v>
      </c>
      <c r="CM22" s="305">
        <f>Тор!D45</f>
        <v>29.866599999999998</v>
      </c>
      <c r="CN22" s="305">
        <f t="shared" si="8"/>
        <v>16.393286056161767</v>
      </c>
      <c r="CO22" s="305">
        <f>Тор!C46</f>
        <v>0</v>
      </c>
      <c r="CP22" s="305">
        <f>Тор!D46</f>
        <v>0</v>
      </c>
      <c r="CQ22" s="295" t="e">
        <f t="shared" si="39"/>
        <v>#DIV/0!</v>
      </c>
      <c r="CR22" s="322">
        <f>Тор!C48</f>
        <v>0</v>
      </c>
      <c r="CS22" s="305">
        <f>Тор!D48</f>
        <v>0</v>
      </c>
      <c r="CT22" s="305" t="e">
        <f t="shared" si="9"/>
        <v>#DIV/0!</v>
      </c>
      <c r="CU22" s="305"/>
      <c r="CV22" s="305">
        <f>Тор!D49</f>
        <v>0</v>
      </c>
      <c r="CW22" s="305"/>
      <c r="CX22" s="304"/>
      <c r="CY22" s="304"/>
      <c r="CZ22" s="305" t="e">
        <f t="shared" si="40"/>
        <v>#DIV/0!</v>
      </c>
      <c r="DA22" s="305"/>
      <c r="DB22" s="305"/>
      <c r="DC22" s="305"/>
      <c r="DD22" s="305"/>
      <c r="DE22" s="305"/>
      <c r="DF22" s="305"/>
      <c r="DG22" s="304">
        <f t="shared" si="41"/>
        <v>7075.1990000000005</v>
      </c>
      <c r="DH22" s="304">
        <f t="shared" si="41"/>
        <v>331.48140000000001</v>
      </c>
      <c r="DI22" s="305">
        <f t="shared" si="42"/>
        <v>4.6851176906826222</v>
      </c>
      <c r="DJ22" s="304">
        <f t="shared" si="43"/>
        <v>1182.0170000000001</v>
      </c>
      <c r="DK22" s="304">
        <f t="shared" si="43"/>
        <v>118.76015</v>
      </c>
      <c r="DL22" s="305">
        <f t="shared" si="44"/>
        <v>10.047245513389401</v>
      </c>
      <c r="DM22" s="305">
        <f>Тор!C58</f>
        <v>1145.7</v>
      </c>
      <c r="DN22" s="305">
        <f>Тор!D58</f>
        <v>118.76015</v>
      </c>
      <c r="DO22" s="305">
        <f t="shared" si="45"/>
        <v>10.365728375665531</v>
      </c>
      <c r="DP22" s="305">
        <f>Тор!C61</f>
        <v>28</v>
      </c>
      <c r="DQ22" s="305">
        <f>Тор!D61</f>
        <v>0</v>
      </c>
      <c r="DR22" s="305">
        <f t="shared" si="46"/>
        <v>0</v>
      </c>
      <c r="DS22" s="305">
        <f>Тор!C62</f>
        <v>5</v>
      </c>
      <c r="DT22" s="305">
        <f>Тор!D62</f>
        <v>0</v>
      </c>
      <c r="DU22" s="305">
        <f t="shared" si="47"/>
        <v>0</v>
      </c>
      <c r="DV22" s="305">
        <f>Тор!C63</f>
        <v>3.3170000000000002</v>
      </c>
      <c r="DW22" s="305">
        <f>Тор!D63</f>
        <v>0</v>
      </c>
      <c r="DX22" s="305">
        <f t="shared" si="48"/>
        <v>0</v>
      </c>
      <c r="DY22" s="305">
        <f>Тор!C65</f>
        <v>179.208</v>
      </c>
      <c r="DZ22" s="305">
        <f>+Тор!D64</f>
        <v>20.593250000000001</v>
      </c>
      <c r="EA22" s="305">
        <f t="shared" si="49"/>
        <v>11.491255970715594</v>
      </c>
      <c r="EB22" s="305">
        <f>Тор!C66</f>
        <v>6</v>
      </c>
      <c r="EC22" s="305">
        <f>Тор!D66</f>
        <v>0</v>
      </c>
      <c r="ED22" s="305">
        <f t="shared" si="50"/>
        <v>0</v>
      </c>
      <c r="EE22" s="304">
        <f>Тор!C72</f>
        <v>4289.9690000000001</v>
      </c>
      <c r="EF22" s="304">
        <f>Тор!D72</f>
        <v>2</v>
      </c>
      <c r="EG22" s="305">
        <f t="shared" si="51"/>
        <v>4.6620383503936741E-2</v>
      </c>
      <c r="EH22" s="304">
        <f>Тор!C78</f>
        <v>265.90499999999997</v>
      </c>
      <c r="EI22" s="304">
        <f>Тор!D78</f>
        <v>0</v>
      </c>
      <c r="EJ22" s="305">
        <f t="shared" si="52"/>
        <v>0</v>
      </c>
      <c r="EK22" s="304">
        <f>Тор!C82</f>
        <v>1150.0999999999999</v>
      </c>
      <c r="EL22" s="324">
        <f>Тор!D82</f>
        <v>190.12799999999999</v>
      </c>
      <c r="EM22" s="305">
        <f t="shared" si="10"/>
        <v>16.531432049387011</v>
      </c>
      <c r="EN22" s="305">
        <f>Тор!C84</f>
        <v>0</v>
      </c>
      <c r="EO22" s="305">
        <f>Тор!D84</f>
        <v>0</v>
      </c>
      <c r="EP22" s="305" t="e">
        <f t="shared" si="11"/>
        <v>#DIV/0!</v>
      </c>
      <c r="EQ22" s="321">
        <f>Тор!C96</f>
        <v>2</v>
      </c>
      <c r="ER22" s="321">
        <f>Тор!D96</f>
        <v>0</v>
      </c>
      <c r="ES22" s="305">
        <f t="shared" si="53"/>
        <v>0</v>
      </c>
      <c r="ET22" s="305">
        <f>Тор!C94</f>
        <v>0</v>
      </c>
      <c r="EU22" s="305">
        <f>Тор!D94</f>
        <v>0</v>
      </c>
      <c r="EV22" s="305" t="e">
        <f t="shared" si="54"/>
        <v>#DIV/0!</v>
      </c>
      <c r="EW22" s="325">
        <f t="shared" si="12"/>
        <v>-146</v>
      </c>
      <c r="EX22" s="325">
        <f t="shared" si="13"/>
        <v>163.69167999999996</v>
      </c>
      <c r="EY22" s="305">
        <f t="shared" si="56"/>
        <v>-112.11758904109585</v>
      </c>
      <c r="EZ22" s="172"/>
      <c r="FA22" s="173"/>
      <c r="FC22" s="173"/>
      <c r="FF22" s="217"/>
      <c r="FG22" s="217"/>
      <c r="FH22" s="217"/>
      <c r="FI22" s="217"/>
      <c r="FJ22" s="217"/>
      <c r="FK22" s="217"/>
      <c r="FL22" s="217"/>
      <c r="FM22" s="217"/>
      <c r="FN22" s="217"/>
    </row>
    <row r="23" spans="1:170" s="162" customFormat="1" ht="23.25" customHeight="1">
      <c r="A23" s="338">
        <v>10</v>
      </c>
      <c r="B23" s="340" t="s">
        <v>298</v>
      </c>
      <c r="C23" s="293">
        <f t="shared" si="14"/>
        <v>5056.6550000000007</v>
      </c>
      <c r="D23" s="294">
        <f t="shared" si="0"/>
        <v>410.62743999999998</v>
      </c>
      <c r="E23" s="302">
        <f t="shared" si="1"/>
        <v>8.1205350177142783</v>
      </c>
      <c r="F23" s="296">
        <f t="shared" si="15"/>
        <v>1117.5999999999999</v>
      </c>
      <c r="G23" s="296">
        <f t="shared" si="3"/>
        <v>86.481839999999991</v>
      </c>
      <c r="H23" s="302">
        <f t="shared" si="16"/>
        <v>7.7381746599856829</v>
      </c>
      <c r="I23" s="310">
        <f>Хор!C6</f>
        <v>74.3</v>
      </c>
      <c r="J23" s="446">
        <f>Хор!D6</f>
        <v>0.99500999999999995</v>
      </c>
      <c r="K23" s="302">
        <f t="shared" si="17"/>
        <v>1.339179004037685</v>
      </c>
      <c r="L23" s="302">
        <f>Хор!C8</f>
        <v>144.09</v>
      </c>
      <c r="M23" s="302">
        <f>Хор!D8</f>
        <v>27.06589</v>
      </c>
      <c r="N23" s="295">
        <f t="shared" si="18"/>
        <v>18.78401693386078</v>
      </c>
      <c r="O23" s="295">
        <f>Хор!C9</f>
        <v>1.55</v>
      </c>
      <c r="P23" s="330">
        <f>Хор!D9</f>
        <v>0.16963</v>
      </c>
      <c r="Q23" s="295">
        <f t="shared" si="19"/>
        <v>10.943870967741935</v>
      </c>
      <c r="R23" s="295">
        <f>Хор!C10</f>
        <v>240.66</v>
      </c>
      <c r="S23" s="295">
        <f>Хор!D10</f>
        <v>38.743099999999998</v>
      </c>
      <c r="T23" s="295">
        <f t="shared" si="20"/>
        <v>16.098686944236682</v>
      </c>
      <c r="U23" s="295">
        <f>Хор!C11</f>
        <v>0</v>
      </c>
      <c r="V23" s="299">
        <f>Хор!D11</f>
        <v>-5.2839999999999998</v>
      </c>
      <c r="W23" s="295" t="e">
        <f t="shared" si="21"/>
        <v>#DIV/0!</v>
      </c>
      <c r="X23" s="310">
        <f>Хор!C13</f>
        <v>5</v>
      </c>
      <c r="Y23" s="310">
        <f>Хор!D13</f>
        <v>1.1193</v>
      </c>
      <c r="Z23" s="302">
        <f t="shared" si="22"/>
        <v>22.385999999999999</v>
      </c>
      <c r="AA23" s="310">
        <f>Хор!C15</f>
        <v>190</v>
      </c>
      <c r="AB23" s="301">
        <f>Хор!D15</f>
        <v>2.2535699999999999</v>
      </c>
      <c r="AC23" s="302">
        <f t="shared" si="23"/>
        <v>1.1860894736842105</v>
      </c>
      <c r="AD23" s="310">
        <f>Хор!C16</f>
        <v>380</v>
      </c>
      <c r="AE23" s="310">
        <f>Хор!D16</f>
        <v>20.06934</v>
      </c>
      <c r="AF23" s="302">
        <f t="shared" si="4"/>
        <v>5.2814052631578949</v>
      </c>
      <c r="AG23" s="302">
        <f>Хор!C18</f>
        <v>5</v>
      </c>
      <c r="AH23" s="302">
        <f>Хор!D18</f>
        <v>1.35</v>
      </c>
      <c r="AI23" s="302">
        <f t="shared" si="24"/>
        <v>27</v>
      </c>
      <c r="AJ23" s="302"/>
      <c r="AK23" s="302"/>
      <c r="AL23" s="302" t="e">
        <f t="shared" si="5"/>
        <v>#DIV/0!</v>
      </c>
      <c r="AM23" s="310">
        <v>0</v>
      </c>
      <c r="AN23" s="310">
        <v>0</v>
      </c>
      <c r="AO23" s="302" t="e">
        <f t="shared" si="6"/>
        <v>#DIV/0!</v>
      </c>
      <c r="AP23" s="310">
        <f>Хор!C27</f>
        <v>77</v>
      </c>
      <c r="AQ23" s="311">
        <f>Хор!D27</f>
        <v>0</v>
      </c>
      <c r="AR23" s="302">
        <f t="shared" si="25"/>
        <v>0</v>
      </c>
      <c r="AS23" s="304">
        <f>Хор!C28</f>
        <v>0</v>
      </c>
      <c r="AT23" s="311">
        <f>Хор!D28</f>
        <v>0</v>
      </c>
      <c r="AU23" s="302" t="e">
        <f t="shared" si="26"/>
        <v>#DIV/0!</v>
      </c>
      <c r="AV23" s="310"/>
      <c r="AW23" s="310"/>
      <c r="AX23" s="302" t="e">
        <f t="shared" si="27"/>
        <v>#DIV/0!</v>
      </c>
      <c r="AY23" s="302">
        <f>Хор!C29</f>
        <v>0</v>
      </c>
      <c r="AZ23" s="305">
        <f>Хор!D29</f>
        <v>0</v>
      </c>
      <c r="BA23" s="302" t="e">
        <f t="shared" si="28"/>
        <v>#DIV/0!</v>
      </c>
      <c r="BB23" s="302"/>
      <c r="BC23" s="302"/>
      <c r="BD23" s="302"/>
      <c r="BE23" s="302">
        <f>Хор!C33</f>
        <v>0</v>
      </c>
      <c r="BF23" s="302">
        <f>Хор!D33</f>
        <v>0</v>
      </c>
      <c r="BG23" s="302" t="e">
        <f t="shared" si="29"/>
        <v>#DIV/0!</v>
      </c>
      <c r="BH23" s="302"/>
      <c r="BI23" s="302"/>
      <c r="BJ23" s="302" t="e">
        <f t="shared" si="30"/>
        <v>#DIV/0!</v>
      </c>
      <c r="BK23" s="302"/>
      <c r="BL23" s="302"/>
      <c r="BM23" s="302"/>
      <c r="BN23" s="302"/>
      <c r="BO23" s="302"/>
      <c r="BP23" s="295" t="e">
        <f t="shared" si="31"/>
        <v>#DIV/0!</v>
      </c>
      <c r="BQ23" s="302">
        <f>Хор!C34</f>
        <v>0</v>
      </c>
      <c r="BR23" s="302">
        <f>Хор!D34</f>
        <v>0</v>
      </c>
      <c r="BS23" s="302" t="e">
        <f t="shared" si="32"/>
        <v>#DIV/0!</v>
      </c>
      <c r="BT23" s="302"/>
      <c r="BU23" s="302"/>
      <c r="BV23" s="312" t="e">
        <f t="shared" si="33"/>
        <v>#DIV/0!</v>
      </c>
      <c r="BW23" s="312"/>
      <c r="BX23" s="312"/>
      <c r="BY23" s="312" t="e">
        <f t="shared" si="34"/>
        <v>#DIV/0!</v>
      </c>
      <c r="BZ23" s="300">
        <f t="shared" si="35"/>
        <v>3939.0550000000003</v>
      </c>
      <c r="CA23" s="300">
        <f t="shared" si="36"/>
        <v>324.1456</v>
      </c>
      <c r="CB23" s="302">
        <f t="shared" si="55"/>
        <v>8.2290193967842544</v>
      </c>
      <c r="CC23" s="302">
        <f>Хор!C39</f>
        <v>1358.5</v>
      </c>
      <c r="CD23" s="302">
        <f>Хор!D39</f>
        <v>226.41200000000001</v>
      </c>
      <c r="CE23" s="302">
        <f t="shared" si="37"/>
        <v>16.666323150533678</v>
      </c>
      <c r="CF23" s="302">
        <f>Хор!C41</f>
        <v>466</v>
      </c>
      <c r="CG23" s="453">
        <f>Хор!D41</f>
        <v>0</v>
      </c>
      <c r="CH23" s="302">
        <f t="shared" si="38"/>
        <v>0</v>
      </c>
      <c r="CI23" s="302">
        <f>Хор!C42</f>
        <v>2021.97</v>
      </c>
      <c r="CJ23" s="302">
        <f>Хор!D42</f>
        <v>82.8</v>
      </c>
      <c r="CK23" s="302">
        <f t="shared" si="7"/>
        <v>4.0950162465318476</v>
      </c>
      <c r="CL23" s="302">
        <f>Хор!C43</f>
        <v>92.584999999999994</v>
      </c>
      <c r="CM23" s="302">
        <f>Хор!D43</f>
        <v>14.9336</v>
      </c>
      <c r="CN23" s="302">
        <f t="shared" si="8"/>
        <v>16.129610628071504</v>
      </c>
      <c r="CO23" s="302">
        <f>Хор!C44</f>
        <v>0</v>
      </c>
      <c r="CP23" s="302">
        <f>Хор!D44</f>
        <v>0</v>
      </c>
      <c r="CQ23" s="295" t="e">
        <f t="shared" si="39"/>
        <v>#DIV/0!</v>
      </c>
      <c r="CR23" s="314">
        <f>Хор!C45</f>
        <v>0</v>
      </c>
      <c r="CS23" s="302">
        <f>Хор!D45</f>
        <v>0</v>
      </c>
      <c r="CT23" s="302" t="e">
        <f t="shared" si="9"/>
        <v>#DIV/0!</v>
      </c>
      <c r="CU23" s="302"/>
      <c r="CV23" s="302"/>
      <c r="CW23" s="302"/>
      <c r="CX23" s="310"/>
      <c r="CY23" s="310"/>
      <c r="CZ23" s="302" t="e">
        <f t="shared" si="40"/>
        <v>#DIV/0!</v>
      </c>
      <c r="DA23" s="302"/>
      <c r="DB23" s="302"/>
      <c r="DC23" s="302"/>
      <c r="DD23" s="302"/>
      <c r="DE23" s="302">
        <f>Хор!D48</f>
        <v>0</v>
      </c>
      <c r="DF23" s="302"/>
      <c r="DG23" s="304">
        <f t="shared" si="41"/>
        <v>5222.6550000000007</v>
      </c>
      <c r="DH23" s="304">
        <f t="shared" si="41"/>
        <v>370.13589000000002</v>
      </c>
      <c r="DI23" s="302">
        <f t="shared" si="42"/>
        <v>7.0871212055937063</v>
      </c>
      <c r="DJ23" s="310">
        <f t="shared" si="43"/>
        <v>1046.4929999999999</v>
      </c>
      <c r="DK23" s="310">
        <f t="shared" si="43"/>
        <v>104.74578</v>
      </c>
      <c r="DL23" s="302">
        <f t="shared" si="44"/>
        <v>10.00921936410468</v>
      </c>
      <c r="DM23" s="302">
        <f>Хор!C56</f>
        <v>1019.8</v>
      </c>
      <c r="DN23" s="302">
        <f>Хор!D56</f>
        <v>104.74578</v>
      </c>
      <c r="DO23" s="302">
        <f t="shared" si="45"/>
        <v>10.27120808001569</v>
      </c>
      <c r="DP23" s="302">
        <f>Хор!C59</f>
        <v>19</v>
      </c>
      <c r="DQ23" s="302">
        <f>Хор!D59</f>
        <v>0</v>
      </c>
      <c r="DR23" s="302">
        <f t="shared" si="46"/>
        <v>0</v>
      </c>
      <c r="DS23" s="302">
        <f>Хор!C60</f>
        <v>5</v>
      </c>
      <c r="DT23" s="302">
        <f>Хор!D60</f>
        <v>0</v>
      </c>
      <c r="DU23" s="302">
        <f t="shared" si="47"/>
        <v>0</v>
      </c>
      <c r="DV23" s="302">
        <f>Хор!C61</f>
        <v>2.6930000000000001</v>
      </c>
      <c r="DW23" s="302">
        <f>Хор!D61</f>
        <v>0</v>
      </c>
      <c r="DX23" s="302">
        <f t="shared" si="48"/>
        <v>0</v>
      </c>
      <c r="DY23" s="302">
        <f>Хор!C63</f>
        <v>89.605000000000004</v>
      </c>
      <c r="DZ23" s="302">
        <f>Хор!D63</f>
        <v>9.8966399999999997</v>
      </c>
      <c r="EA23" s="302">
        <f t="shared" si="49"/>
        <v>11.044740806874616</v>
      </c>
      <c r="EB23" s="302">
        <f>Хор!C64</f>
        <v>6</v>
      </c>
      <c r="EC23" s="302">
        <f>Хор!D64</f>
        <v>0</v>
      </c>
      <c r="ED23" s="302">
        <f t="shared" si="50"/>
        <v>0</v>
      </c>
      <c r="EE23" s="310">
        <f>Хор!C70</f>
        <v>2662.6280000000002</v>
      </c>
      <c r="EF23" s="310">
        <f>Хор!D70</f>
        <v>96.501000000000005</v>
      </c>
      <c r="EG23" s="302">
        <f t="shared" si="51"/>
        <v>3.6242764667088303</v>
      </c>
      <c r="EH23" s="310">
        <f>Хор!C75</f>
        <v>468.12900000000002</v>
      </c>
      <c r="EI23" s="310">
        <f>Хор!D75</f>
        <v>0</v>
      </c>
      <c r="EJ23" s="302">
        <f t="shared" si="52"/>
        <v>0</v>
      </c>
      <c r="EK23" s="310">
        <f>Хор!C79</f>
        <v>947.8</v>
      </c>
      <c r="EL23" s="315">
        <f>Хор!D79</f>
        <v>158.99247</v>
      </c>
      <c r="EM23" s="302">
        <f t="shared" si="10"/>
        <v>16.774896602658789</v>
      </c>
      <c r="EN23" s="302">
        <f>Хор!C81</f>
        <v>0</v>
      </c>
      <c r="EO23" s="302">
        <f>Хор!D81</f>
        <v>0</v>
      </c>
      <c r="EP23" s="302" t="e">
        <f t="shared" si="11"/>
        <v>#DIV/0!</v>
      </c>
      <c r="EQ23" s="316">
        <f>Хор!C86</f>
        <v>2</v>
      </c>
      <c r="ER23" s="316">
        <f>Хор!D86</f>
        <v>0</v>
      </c>
      <c r="ES23" s="302">
        <f t="shared" si="53"/>
        <v>0</v>
      </c>
      <c r="ET23" s="302">
        <f>Хор!C92</f>
        <v>0</v>
      </c>
      <c r="EU23" s="302">
        <f>Хор!D92</f>
        <v>0</v>
      </c>
      <c r="EV23" s="295" t="e">
        <f t="shared" si="54"/>
        <v>#DIV/0!</v>
      </c>
      <c r="EW23" s="309">
        <f t="shared" si="12"/>
        <v>-166</v>
      </c>
      <c r="EX23" s="309">
        <f t="shared" si="13"/>
        <v>40.491549999999961</v>
      </c>
      <c r="EY23" s="295">
        <f t="shared" si="56"/>
        <v>-24.392499999999977</v>
      </c>
      <c r="EZ23" s="164"/>
      <c r="FA23" s="165"/>
      <c r="FC23" s="165"/>
    </row>
    <row r="24" spans="1:170" s="253" customFormat="1" ht="25.5" customHeight="1">
      <c r="A24" s="343">
        <v>11</v>
      </c>
      <c r="B24" s="340" t="s">
        <v>299</v>
      </c>
      <c r="C24" s="317">
        <f t="shared" si="14"/>
        <v>5511.2620000000006</v>
      </c>
      <c r="D24" s="294">
        <f t="shared" si="0"/>
        <v>512.69665999999995</v>
      </c>
      <c r="E24" s="302">
        <f t="shared" si="1"/>
        <v>9.3027088895429024</v>
      </c>
      <c r="F24" s="296">
        <f t="shared" si="15"/>
        <v>1181.5999999999999</v>
      </c>
      <c r="G24" s="316">
        <f t="shared" si="3"/>
        <v>88.63745999999999</v>
      </c>
      <c r="H24" s="302">
        <f t="shared" si="16"/>
        <v>7.5014776574136759</v>
      </c>
      <c r="I24" s="310">
        <f>Чум!C6</f>
        <v>106.5</v>
      </c>
      <c r="J24" s="446">
        <f>Чум!D6</f>
        <v>8.99573</v>
      </c>
      <c r="K24" s="302">
        <f t="shared" si="17"/>
        <v>8.4466948356807521</v>
      </c>
      <c r="L24" s="302">
        <f>Чум!C8</f>
        <v>137.44999999999999</v>
      </c>
      <c r="M24" s="302">
        <f>Чум!D8</f>
        <v>25.819459999999999</v>
      </c>
      <c r="N24" s="302">
        <f t="shared" si="18"/>
        <v>18.784619861767919</v>
      </c>
      <c r="O24" s="302">
        <f>Чум!C9</f>
        <v>1.47</v>
      </c>
      <c r="P24" s="459">
        <f>Чум!D9</f>
        <v>0.16178999999999999</v>
      </c>
      <c r="Q24" s="302">
        <f t="shared" si="19"/>
        <v>11.006122448979591</v>
      </c>
      <c r="R24" s="302">
        <f>Чум!C10</f>
        <v>229.58</v>
      </c>
      <c r="S24" s="302">
        <f>Чум!D10</f>
        <v>36.958880000000001</v>
      </c>
      <c r="T24" s="302">
        <f t="shared" si="20"/>
        <v>16.098475476957923</v>
      </c>
      <c r="U24" s="302">
        <f>Чум!C11</f>
        <v>0</v>
      </c>
      <c r="V24" s="314">
        <f>Чум!D11</f>
        <v>-5.04068</v>
      </c>
      <c r="W24" s="302" t="e">
        <f t="shared" si="21"/>
        <v>#DIV/0!</v>
      </c>
      <c r="X24" s="310">
        <f>Чум!C13</f>
        <v>70</v>
      </c>
      <c r="Y24" s="310">
        <f>Чум!D13</f>
        <v>0</v>
      </c>
      <c r="Z24" s="302">
        <f t="shared" si="22"/>
        <v>0</v>
      </c>
      <c r="AA24" s="310">
        <f>Чум!C15</f>
        <v>95</v>
      </c>
      <c r="AB24" s="301">
        <f>Чум!D15</f>
        <v>0.80608999999999997</v>
      </c>
      <c r="AC24" s="302">
        <f t="shared" si="23"/>
        <v>0.84851578947368422</v>
      </c>
      <c r="AD24" s="310">
        <f>Чум!C16</f>
        <v>451</v>
      </c>
      <c r="AE24" s="310">
        <f>Чум!D16</f>
        <v>18.121690000000001</v>
      </c>
      <c r="AF24" s="302">
        <f t="shared" si="4"/>
        <v>4.0181130820399114</v>
      </c>
      <c r="AG24" s="302">
        <f>Чум!C18</f>
        <v>5</v>
      </c>
      <c r="AH24" s="302">
        <f>Чум!D18</f>
        <v>0.7</v>
      </c>
      <c r="AI24" s="302">
        <f t="shared" si="24"/>
        <v>13.999999999999998</v>
      </c>
      <c r="AJ24" s="302">
        <f>Чум!C22</f>
        <v>0</v>
      </c>
      <c r="AK24" s="302">
        <f>Чум!D20</f>
        <v>0</v>
      </c>
      <c r="AL24" s="302" t="e">
        <f>AK24/AJ24*100</f>
        <v>#DIV/0!</v>
      </c>
      <c r="AM24" s="310">
        <v>0</v>
      </c>
      <c r="AN24" s="310"/>
      <c r="AO24" s="302" t="e">
        <f t="shared" si="6"/>
        <v>#DIV/0!</v>
      </c>
      <c r="AP24" s="310">
        <f>Чум!C27</f>
        <v>85.6</v>
      </c>
      <c r="AQ24" s="311">
        <f>Чум!D27</f>
        <v>0</v>
      </c>
      <c r="AR24" s="302">
        <f t="shared" si="25"/>
        <v>0</v>
      </c>
      <c r="AS24" s="310">
        <f>Чум!C28</f>
        <v>0</v>
      </c>
      <c r="AT24" s="311">
        <f>Чум!D28</f>
        <v>0</v>
      </c>
      <c r="AU24" s="302" t="e">
        <f t="shared" si="26"/>
        <v>#DIV/0!</v>
      </c>
      <c r="AV24" s="310"/>
      <c r="AW24" s="310"/>
      <c r="AX24" s="302" t="e">
        <f t="shared" si="27"/>
        <v>#DIV/0!</v>
      </c>
      <c r="AY24" s="302">
        <f>Чум!C30</f>
        <v>0</v>
      </c>
      <c r="AZ24" s="305">
        <f>Чум!D30</f>
        <v>2.1145</v>
      </c>
      <c r="BA24" s="302" t="e">
        <f t="shared" si="28"/>
        <v>#DIV/0!</v>
      </c>
      <c r="BB24" s="302"/>
      <c r="BC24" s="302"/>
      <c r="BD24" s="302"/>
      <c r="BE24" s="302">
        <f>Чум!C33</f>
        <v>0</v>
      </c>
      <c r="BF24" s="302">
        <f>Чум!D33</f>
        <v>0</v>
      </c>
      <c r="BG24" s="302" t="e">
        <f t="shared" si="29"/>
        <v>#DIV/0!</v>
      </c>
      <c r="BH24" s="302"/>
      <c r="BI24" s="302"/>
      <c r="BJ24" s="302" t="e">
        <f t="shared" si="30"/>
        <v>#DIV/0!</v>
      </c>
      <c r="BK24" s="302"/>
      <c r="BL24" s="302"/>
      <c r="BM24" s="302"/>
      <c r="BN24" s="302"/>
      <c r="BO24" s="302">
        <f>Чум!D34</f>
        <v>0</v>
      </c>
      <c r="BP24" s="295" t="e">
        <f t="shared" si="31"/>
        <v>#DIV/0!</v>
      </c>
      <c r="BQ24" s="302">
        <f>Чум!C37</f>
        <v>0</v>
      </c>
      <c r="BR24" s="302">
        <f>Чум!D37</f>
        <v>0</v>
      </c>
      <c r="BS24" s="302" t="e">
        <f t="shared" si="32"/>
        <v>#DIV/0!</v>
      </c>
      <c r="BT24" s="302"/>
      <c r="BU24" s="302"/>
      <c r="BV24" s="312" t="e">
        <f t="shared" si="33"/>
        <v>#DIV/0!</v>
      </c>
      <c r="BW24" s="312"/>
      <c r="BX24" s="312"/>
      <c r="BY24" s="312" t="e">
        <f t="shared" si="34"/>
        <v>#DIV/0!</v>
      </c>
      <c r="BZ24" s="310">
        <f t="shared" si="35"/>
        <v>4329.6620000000003</v>
      </c>
      <c r="CA24" s="310">
        <f t="shared" si="36"/>
        <v>424.05919999999998</v>
      </c>
      <c r="CB24" s="302">
        <f t="shared" si="55"/>
        <v>9.7942795534616778</v>
      </c>
      <c r="CC24" s="302">
        <f>Чум!C42</f>
        <v>2064.4</v>
      </c>
      <c r="CD24" s="302">
        <f>Чум!D42</f>
        <v>344.06079999999997</v>
      </c>
      <c r="CE24" s="302">
        <f t="shared" si="37"/>
        <v>16.666382484014726</v>
      </c>
      <c r="CF24" s="302">
        <f>Чум!C43</f>
        <v>0</v>
      </c>
      <c r="CG24" s="453">
        <f>Чум!D43</f>
        <v>0</v>
      </c>
      <c r="CH24" s="302" t="e">
        <f t="shared" si="38"/>
        <v>#DIV/0!</v>
      </c>
      <c r="CI24" s="302">
        <f>Чум!C44</f>
        <v>2171.4769999999999</v>
      </c>
      <c r="CJ24" s="302">
        <f>Чум!D44</f>
        <v>65.064999999999998</v>
      </c>
      <c r="CK24" s="302">
        <f t="shared" si="7"/>
        <v>2.9963476472465516</v>
      </c>
      <c r="CL24" s="302">
        <f>Чум!C45</f>
        <v>93.784999999999997</v>
      </c>
      <c r="CM24" s="302">
        <f>Чум!D45</f>
        <v>14.933400000000001</v>
      </c>
      <c r="CN24" s="302">
        <f t="shared" si="8"/>
        <v>15.92301540758117</v>
      </c>
      <c r="CO24" s="302">
        <f>Чум!C46</f>
        <v>0</v>
      </c>
      <c r="CP24" s="302">
        <f>Чум!D46</f>
        <v>0</v>
      </c>
      <c r="CQ24" s="295" t="e">
        <f t="shared" si="39"/>
        <v>#DIV/0!</v>
      </c>
      <c r="CR24" s="314">
        <f>Чум!C50</f>
        <v>0</v>
      </c>
      <c r="CS24" s="302">
        <f>Чум!D50</f>
        <v>0</v>
      </c>
      <c r="CT24" s="302" t="e">
        <f t="shared" si="9"/>
        <v>#DIV/0!</v>
      </c>
      <c r="CU24" s="302"/>
      <c r="CV24" s="302"/>
      <c r="CW24" s="302"/>
      <c r="CX24" s="310"/>
      <c r="CY24" s="310"/>
      <c r="CZ24" s="302" t="e">
        <f t="shared" si="40"/>
        <v>#DIV/0!</v>
      </c>
      <c r="DA24" s="302"/>
      <c r="DB24" s="302"/>
      <c r="DC24" s="302"/>
      <c r="DD24" s="302"/>
      <c r="DE24" s="302"/>
      <c r="DF24" s="302"/>
      <c r="DG24" s="304">
        <f t="shared" si="41"/>
        <v>5511.2619999999997</v>
      </c>
      <c r="DH24" s="304">
        <f t="shared" si="41"/>
        <v>470.73480999999998</v>
      </c>
      <c r="DI24" s="302">
        <f t="shared" si="42"/>
        <v>8.5413251992012</v>
      </c>
      <c r="DJ24" s="310">
        <f t="shared" si="43"/>
        <v>1356.1200000000001</v>
      </c>
      <c r="DK24" s="310">
        <f t="shared" si="43"/>
        <v>171.32400999999999</v>
      </c>
      <c r="DL24" s="302">
        <f t="shared" si="44"/>
        <v>12.633396012152314</v>
      </c>
      <c r="DM24" s="302">
        <f>Чум!C58</f>
        <v>1320.9</v>
      </c>
      <c r="DN24" s="302">
        <f>Чум!D58</f>
        <v>171.32400999999999</v>
      </c>
      <c r="DO24" s="302">
        <f t="shared" si="45"/>
        <v>12.970248315542431</v>
      </c>
      <c r="DP24" s="302">
        <f>Чум!C61</f>
        <v>27</v>
      </c>
      <c r="DQ24" s="302">
        <f>Чум!D61</f>
        <v>0</v>
      </c>
      <c r="DR24" s="302">
        <f t="shared" si="46"/>
        <v>0</v>
      </c>
      <c r="DS24" s="302">
        <f>Чум!C62</f>
        <v>5</v>
      </c>
      <c r="DT24" s="302">
        <f>Чум!D62</f>
        <v>0</v>
      </c>
      <c r="DU24" s="302">
        <f t="shared" si="47"/>
        <v>0</v>
      </c>
      <c r="DV24" s="302">
        <f>Чум!C63</f>
        <v>3.22</v>
      </c>
      <c r="DW24" s="302">
        <f>Чум!D63</f>
        <v>0</v>
      </c>
      <c r="DX24" s="302">
        <f t="shared" si="48"/>
        <v>0</v>
      </c>
      <c r="DY24" s="302">
        <f>Чум!C65</f>
        <v>89.605000000000004</v>
      </c>
      <c r="DZ24" s="302">
        <f>Чум!D65</f>
        <v>14.120240000000001</v>
      </c>
      <c r="EA24" s="302">
        <f t="shared" si="49"/>
        <v>15.758317058199879</v>
      </c>
      <c r="EB24" s="302">
        <f>Чум!C66</f>
        <v>6</v>
      </c>
      <c r="EC24" s="302">
        <f>Чум!D66</f>
        <v>0</v>
      </c>
      <c r="ED24" s="302">
        <f t="shared" si="50"/>
        <v>0</v>
      </c>
      <c r="EE24" s="310">
        <f>Чум!C72</f>
        <v>2652.8980000000001</v>
      </c>
      <c r="EF24" s="310">
        <f>Чум!D72</f>
        <v>98.001760000000004</v>
      </c>
      <c r="EG24" s="302">
        <f t="shared" si="51"/>
        <v>3.6941397671527514</v>
      </c>
      <c r="EH24" s="310">
        <f>Чум!C77</f>
        <v>374.23899999999998</v>
      </c>
      <c r="EI24" s="310">
        <f>Чум!D77</f>
        <v>13.5688</v>
      </c>
      <c r="EJ24" s="302">
        <f t="shared" si="52"/>
        <v>3.6257044295223104</v>
      </c>
      <c r="EK24" s="310">
        <f>Чум!C81</f>
        <v>1022.4</v>
      </c>
      <c r="EL24" s="315">
        <f>Чум!D81</f>
        <v>170.4</v>
      </c>
      <c r="EM24" s="302">
        <f t="shared" si="10"/>
        <v>16.666666666666668</v>
      </c>
      <c r="EN24" s="302">
        <f>Чум!C83</f>
        <v>0</v>
      </c>
      <c r="EO24" s="302">
        <f>Чум!D83</f>
        <v>0</v>
      </c>
      <c r="EP24" s="302" t="e">
        <f t="shared" si="11"/>
        <v>#DIV/0!</v>
      </c>
      <c r="EQ24" s="316">
        <f>Чум!C88</f>
        <v>10</v>
      </c>
      <c r="ER24" s="316">
        <f>Чум!D88</f>
        <v>3.32</v>
      </c>
      <c r="ES24" s="302">
        <f t="shared" si="53"/>
        <v>33.199999999999996</v>
      </c>
      <c r="ET24" s="302">
        <f>Чум!C94</f>
        <v>0</v>
      </c>
      <c r="EU24" s="302">
        <f>Чум!D94</f>
        <v>0</v>
      </c>
      <c r="EV24" s="302" t="e">
        <f t="shared" si="54"/>
        <v>#DIV/0!</v>
      </c>
      <c r="EW24" s="326">
        <f t="shared" si="12"/>
        <v>9.0949470177292824E-13</v>
      </c>
      <c r="EX24" s="326">
        <f t="shared" si="13"/>
        <v>41.96184999999997</v>
      </c>
      <c r="EY24" s="302">
        <f t="shared" si="56"/>
        <v>4613754199799231</v>
      </c>
      <c r="EZ24" s="251"/>
      <c r="FA24" s="252"/>
      <c r="FC24" s="252"/>
    </row>
    <row r="25" spans="1:170" s="174" customFormat="1" ht="22.5" customHeight="1">
      <c r="A25" s="341">
        <v>12</v>
      </c>
      <c r="B25" s="342" t="s">
        <v>300</v>
      </c>
      <c r="C25" s="319">
        <f t="shared" si="14"/>
        <v>5479.2420000000002</v>
      </c>
      <c r="D25" s="320">
        <f t="shared" si="0"/>
        <v>371.05327999999997</v>
      </c>
      <c r="E25" s="305">
        <f t="shared" si="1"/>
        <v>6.7719819639285861</v>
      </c>
      <c r="F25" s="296">
        <f t="shared" si="15"/>
        <v>991.43000000000006</v>
      </c>
      <c r="G25" s="321">
        <f t="shared" si="3"/>
        <v>145.58987999999999</v>
      </c>
      <c r="H25" s="305">
        <f t="shared" si="16"/>
        <v>14.684837053548913</v>
      </c>
      <c r="I25" s="304">
        <f>Шать!C6</f>
        <v>44.3</v>
      </c>
      <c r="J25" s="446">
        <f>Шать!D6</f>
        <v>4.8130199999999999</v>
      </c>
      <c r="K25" s="305">
        <f t="shared" si="17"/>
        <v>10.864604966139956</v>
      </c>
      <c r="L25" s="305">
        <f>Шать!C8</f>
        <v>140.30000000000001</v>
      </c>
      <c r="M25" s="305">
        <f>Шать!D8</f>
        <v>26.353639999999999</v>
      </c>
      <c r="N25" s="305">
        <f t="shared" si="18"/>
        <v>18.783777619387028</v>
      </c>
      <c r="O25" s="305">
        <f>Шать!C9</f>
        <v>1.5</v>
      </c>
      <c r="P25" s="458">
        <f>Шать!D9</f>
        <v>0.16514999999999999</v>
      </c>
      <c r="Q25" s="305">
        <f t="shared" si="19"/>
        <v>11.01</v>
      </c>
      <c r="R25" s="305">
        <f>Шать!C10</f>
        <v>234.33</v>
      </c>
      <c r="S25" s="305">
        <f>Шать!D10</f>
        <v>37.723529999999997</v>
      </c>
      <c r="T25" s="305">
        <f t="shared" si="20"/>
        <v>16.098463705031364</v>
      </c>
      <c r="U25" s="305">
        <f>Шать!C11</f>
        <v>0</v>
      </c>
      <c r="V25" s="322">
        <f>Шать!D11</f>
        <v>-5.1449499999999997</v>
      </c>
      <c r="W25" s="305" t="e">
        <f t="shared" si="21"/>
        <v>#DIV/0!</v>
      </c>
      <c r="X25" s="304">
        <f>Шать!C13</f>
        <v>50</v>
      </c>
      <c r="Y25" s="304">
        <f>Шать!D13</f>
        <v>0</v>
      </c>
      <c r="Z25" s="305">
        <f t="shared" si="22"/>
        <v>0</v>
      </c>
      <c r="AA25" s="304">
        <f>Шать!C15</f>
        <v>65</v>
      </c>
      <c r="AB25" s="301">
        <f>Шать!D15</f>
        <v>3.8869699999999998</v>
      </c>
      <c r="AC25" s="305">
        <f t="shared" si="23"/>
        <v>5.9799538461538457</v>
      </c>
      <c r="AD25" s="304">
        <f>Шать!C16</f>
        <v>274</v>
      </c>
      <c r="AE25" s="304">
        <f>Шать!D16</f>
        <v>17.75665</v>
      </c>
      <c r="AF25" s="305">
        <f t="shared" si="4"/>
        <v>6.4805291970802923</v>
      </c>
      <c r="AG25" s="305">
        <f>Шать!C18</f>
        <v>3</v>
      </c>
      <c r="AH25" s="305">
        <f>Шать!D18</f>
        <v>0.3</v>
      </c>
      <c r="AI25" s="305">
        <f t="shared" si="24"/>
        <v>10</v>
      </c>
      <c r="AJ25" s="305"/>
      <c r="AK25" s="305"/>
      <c r="AL25" s="305" t="e">
        <f>AJ25/AK25*100</f>
        <v>#DIV/0!</v>
      </c>
      <c r="AM25" s="304">
        <v>0</v>
      </c>
      <c r="AN25" s="304">
        <f>0</f>
        <v>0</v>
      </c>
      <c r="AO25" s="305" t="e">
        <f t="shared" si="6"/>
        <v>#DIV/0!</v>
      </c>
      <c r="AP25" s="304">
        <f>Шать!C27</f>
        <v>153</v>
      </c>
      <c r="AQ25" s="311">
        <f>Шать!D27</f>
        <v>49.196800000000003</v>
      </c>
      <c r="AR25" s="305">
        <f t="shared" si="25"/>
        <v>32.154771241830069</v>
      </c>
      <c r="AS25" s="304">
        <f>Шать!C28</f>
        <v>26</v>
      </c>
      <c r="AT25" s="301">
        <f>Шать!D28</f>
        <v>4.3352000000000004</v>
      </c>
      <c r="AU25" s="305">
        <f t="shared" si="26"/>
        <v>16.673846153846156</v>
      </c>
      <c r="AV25" s="304"/>
      <c r="AW25" s="304"/>
      <c r="AX25" s="305" t="e">
        <f t="shared" si="27"/>
        <v>#DIV/0!</v>
      </c>
      <c r="AY25" s="305">
        <f>Шать!C29</f>
        <v>0</v>
      </c>
      <c r="AZ25" s="305">
        <f>Шать!D29</f>
        <v>6.2038700000000002</v>
      </c>
      <c r="BA25" s="305" t="e">
        <f t="shared" si="28"/>
        <v>#DIV/0!</v>
      </c>
      <c r="BB25" s="305"/>
      <c r="BC25" s="305"/>
      <c r="BD25" s="305"/>
      <c r="BE25" s="305">
        <f>Шать!C33</f>
        <v>0</v>
      </c>
      <c r="BF25" s="305">
        <f>Шать!D33</f>
        <v>0</v>
      </c>
      <c r="BG25" s="305" t="e">
        <f t="shared" si="29"/>
        <v>#DIV/0!</v>
      </c>
      <c r="BH25" s="305"/>
      <c r="BI25" s="305"/>
      <c r="BJ25" s="305" t="e">
        <f t="shared" si="30"/>
        <v>#DIV/0!</v>
      </c>
      <c r="BK25" s="305"/>
      <c r="BL25" s="305"/>
      <c r="BM25" s="305"/>
      <c r="BN25" s="305">
        <f>Шать!C34</f>
        <v>0</v>
      </c>
      <c r="BO25" s="305">
        <f>Шать!D34</f>
        <v>0</v>
      </c>
      <c r="BP25" s="295" t="e">
        <f t="shared" si="31"/>
        <v>#DIV/0!</v>
      </c>
      <c r="BQ25" s="305">
        <f>Шать!C37</f>
        <v>0</v>
      </c>
      <c r="BR25" s="305">
        <v>0</v>
      </c>
      <c r="BS25" s="305" t="e">
        <f t="shared" si="32"/>
        <v>#DIV/0!</v>
      </c>
      <c r="BT25" s="305"/>
      <c r="BU25" s="305"/>
      <c r="BV25" s="323" t="e">
        <f t="shared" si="33"/>
        <v>#DIV/0!</v>
      </c>
      <c r="BW25" s="323"/>
      <c r="BX25" s="323"/>
      <c r="BY25" s="323" t="e">
        <f t="shared" si="34"/>
        <v>#DIV/0!</v>
      </c>
      <c r="BZ25" s="304">
        <f t="shared" si="35"/>
        <v>4487.8119999999999</v>
      </c>
      <c r="CA25" s="300">
        <f t="shared" si="36"/>
        <v>225.46340000000001</v>
      </c>
      <c r="CB25" s="305">
        <f t="shared" si="55"/>
        <v>5.0239047446729055</v>
      </c>
      <c r="CC25" s="305">
        <f>Шать!C42</f>
        <v>1263.2</v>
      </c>
      <c r="CD25" s="305">
        <f>Шать!D42</f>
        <v>210.53</v>
      </c>
      <c r="CE25" s="305">
        <f t="shared" si="37"/>
        <v>16.66640278657378</v>
      </c>
      <c r="CF25" s="305">
        <f>Шать!C43</f>
        <v>300</v>
      </c>
      <c r="CG25" s="454">
        <f>Шать!D43</f>
        <v>0</v>
      </c>
      <c r="CH25" s="305">
        <f t="shared" si="38"/>
        <v>0</v>
      </c>
      <c r="CI25" s="305">
        <f>Шать!C44</f>
        <v>2830.8270000000002</v>
      </c>
      <c r="CJ25" s="305">
        <f>Шать!D44</f>
        <v>0</v>
      </c>
      <c r="CK25" s="305">
        <f t="shared" si="7"/>
        <v>0</v>
      </c>
      <c r="CL25" s="305">
        <f>Шать!C45</f>
        <v>93.784999999999997</v>
      </c>
      <c r="CM25" s="305">
        <f>Шать!D45</f>
        <v>14.933400000000001</v>
      </c>
      <c r="CN25" s="305">
        <f t="shared" si="8"/>
        <v>15.92301540758117</v>
      </c>
      <c r="CO25" s="305">
        <f>Шать!C46</f>
        <v>0</v>
      </c>
      <c r="CP25" s="305">
        <f>Шать!D46</f>
        <v>0</v>
      </c>
      <c r="CQ25" s="295" t="e">
        <f t="shared" si="39"/>
        <v>#DIV/0!</v>
      </c>
      <c r="CR25" s="322">
        <f>Шать!C50</f>
        <v>0</v>
      </c>
      <c r="CS25" s="305">
        <f>Шать!D50</f>
        <v>0</v>
      </c>
      <c r="CT25" s="305" t="e">
        <f t="shared" si="9"/>
        <v>#DIV/0!</v>
      </c>
      <c r="CU25" s="305"/>
      <c r="CV25" s="305"/>
      <c r="CW25" s="305"/>
      <c r="CX25" s="304"/>
      <c r="CY25" s="304"/>
      <c r="CZ25" s="305" t="e">
        <f t="shared" si="40"/>
        <v>#DIV/0!</v>
      </c>
      <c r="DA25" s="305"/>
      <c r="DB25" s="305"/>
      <c r="DC25" s="305"/>
      <c r="DD25" s="305"/>
      <c r="DE25" s="305"/>
      <c r="DF25" s="305"/>
      <c r="DG25" s="304">
        <f t="shared" si="41"/>
        <v>5479.2420000000002</v>
      </c>
      <c r="DH25" s="304">
        <f t="shared" si="41"/>
        <v>291.72149999999999</v>
      </c>
      <c r="DI25" s="305">
        <f>DH25/DG25*100</f>
        <v>5.3241214751967512</v>
      </c>
      <c r="DJ25" s="304">
        <f t="shared" si="43"/>
        <v>1181.259</v>
      </c>
      <c r="DK25" s="304">
        <f t="shared" si="43"/>
        <v>108.07249</v>
      </c>
      <c r="DL25" s="305">
        <f t="shared" si="44"/>
        <v>9.1489241563450516</v>
      </c>
      <c r="DM25" s="305">
        <f>Шать!C58</f>
        <v>1153.2</v>
      </c>
      <c r="DN25" s="305">
        <f>Шать!D58</f>
        <v>108.07249</v>
      </c>
      <c r="DO25" s="305">
        <f t="shared" si="45"/>
        <v>9.3715305237599722</v>
      </c>
      <c r="DP25" s="305">
        <f>Шать!C61</f>
        <v>20.516999999999999</v>
      </c>
      <c r="DQ25" s="305">
        <f>Шать!D61</f>
        <v>0</v>
      </c>
      <c r="DR25" s="305">
        <f t="shared" si="46"/>
        <v>0</v>
      </c>
      <c r="DS25" s="305">
        <f>Шать!C62</f>
        <v>5</v>
      </c>
      <c r="DT25" s="305">
        <f>Шать!D62</f>
        <v>0</v>
      </c>
      <c r="DU25" s="305">
        <f t="shared" si="47"/>
        <v>0</v>
      </c>
      <c r="DV25" s="305">
        <f>Шать!C63</f>
        <v>2.5419999999999998</v>
      </c>
      <c r="DW25" s="305">
        <f>Шать!D63</f>
        <v>0</v>
      </c>
      <c r="DX25" s="305">
        <f t="shared" si="48"/>
        <v>0</v>
      </c>
      <c r="DY25" s="305">
        <f>Шать!C65</f>
        <v>89.605000000000004</v>
      </c>
      <c r="DZ25" s="305">
        <f>Шать!D65</f>
        <v>9.8989999999999991</v>
      </c>
      <c r="EA25" s="305">
        <f t="shared" si="49"/>
        <v>11.047374588471625</v>
      </c>
      <c r="EB25" s="305">
        <f>Шать!C66</f>
        <v>4</v>
      </c>
      <c r="EC25" s="305">
        <f>Шать!D66</f>
        <v>0</v>
      </c>
      <c r="ED25" s="305">
        <f t="shared" si="50"/>
        <v>0</v>
      </c>
      <c r="EE25" s="304">
        <f>Шать!C72</f>
        <v>3216.9780000000001</v>
      </c>
      <c r="EF25" s="304">
        <f>Шать!D72</f>
        <v>12.9689</v>
      </c>
      <c r="EG25" s="305">
        <f t="shared" si="51"/>
        <v>0.40313921947865361</v>
      </c>
      <c r="EH25" s="304">
        <f>Шать!C77</f>
        <v>153</v>
      </c>
      <c r="EI25" s="304">
        <f>Шать!D77</f>
        <v>20.781110000000002</v>
      </c>
      <c r="EJ25" s="305">
        <f t="shared" si="52"/>
        <v>13.582424836601309</v>
      </c>
      <c r="EK25" s="304">
        <f>Шать!C81</f>
        <v>832.4</v>
      </c>
      <c r="EL25" s="324">
        <f>Шать!D81</f>
        <v>140</v>
      </c>
      <c r="EM25" s="305">
        <f t="shared" si="10"/>
        <v>16.818837097549256</v>
      </c>
      <c r="EN25" s="305">
        <f>Шать!C83</f>
        <v>0</v>
      </c>
      <c r="EO25" s="305">
        <f>Шать!D83</f>
        <v>0</v>
      </c>
      <c r="EP25" s="305" t="e">
        <f t="shared" si="11"/>
        <v>#DIV/0!</v>
      </c>
      <c r="EQ25" s="321">
        <f>Шать!C88</f>
        <v>2</v>
      </c>
      <c r="ER25" s="321">
        <f>Шать!D88</f>
        <v>0</v>
      </c>
      <c r="ES25" s="305">
        <f t="shared" si="53"/>
        <v>0</v>
      </c>
      <c r="ET25" s="305">
        <f>Шать!C94</f>
        <v>0</v>
      </c>
      <c r="EU25" s="305">
        <f>Шать!D94</f>
        <v>0</v>
      </c>
      <c r="EV25" s="305" t="e">
        <f t="shared" si="54"/>
        <v>#DIV/0!</v>
      </c>
      <c r="EW25" s="325">
        <f t="shared" si="12"/>
        <v>0</v>
      </c>
      <c r="EX25" s="325">
        <f t="shared" si="13"/>
        <v>79.331779999999981</v>
      </c>
      <c r="EY25" s="305" t="e">
        <f t="shared" si="56"/>
        <v>#DIV/0!</v>
      </c>
      <c r="EZ25" s="172"/>
      <c r="FA25" s="173"/>
      <c r="FC25" s="173"/>
    </row>
    <row r="26" spans="1:170" s="253" customFormat="1" ht="24.75" customHeight="1">
      <c r="A26" s="344">
        <v>13</v>
      </c>
      <c r="B26" s="340" t="s">
        <v>301</v>
      </c>
      <c r="C26" s="317">
        <f t="shared" si="14"/>
        <v>4982.4650000000001</v>
      </c>
      <c r="D26" s="294">
        <f t="shared" si="0"/>
        <v>623.75873999999999</v>
      </c>
      <c r="E26" s="302">
        <f t="shared" si="1"/>
        <v>12.519079210792247</v>
      </c>
      <c r="F26" s="296">
        <f t="shared" si="15"/>
        <v>3427.14</v>
      </c>
      <c r="G26" s="316">
        <f t="shared" si="3"/>
        <v>405.93413999999996</v>
      </c>
      <c r="H26" s="302">
        <f t="shared" si="16"/>
        <v>11.844690908454279</v>
      </c>
      <c r="I26" s="310">
        <f>Юнг!C6</f>
        <v>115.4</v>
      </c>
      <c r="J26" s="446">
        <f>Юнг!D6</f>
        <v>19.005279999999999</v>
      </c>
      <c r="K26" s="302">
        <f t="shared" si="17"/>
        <v>16.469046793760832</v>
      </c>
      <c r="L26" s="302">
        <f>Юнг!C8</f>
        <v>227.51</v>
      </c>
      <c r="M26" s="302">
        <f>Юнг!D8</f>
        <v>42.73563</v>
      </c>
      <c r="N26" s="302">
        <f t="shared" si="18"/>
        <v>18.784066634433653</v>
      </c>
      <c r="O26" s="302">
        <f>Юнг!C9</f>
        <v>2.4300000000000002</v>
      </c>
      <c r="P26" s="459">
        <f>Юнг!D9</f>
        <v>0.26780999999999999</v>
      </c>
      <c r="Q26" s="302">
        <f t="shared" si="19"/>
        <v>11.020987654320987</v>
      </c>
      <c r="R26" s="302">
        <f>Юнг!C10</f>
        <v>380</v>
      </c>
      <c r="S26" s="302">
        <f>Юнг!D10</f>
        <v>61.173319999999997</v>
      </c>
      <c r="T26" s="302">
        <f t="shared" si="20"/>
        <v>16.098242105263157</v>
      </c>
      <c r="U26" s="302">
        <f>Юнг!C11</f>
        <v>0</v>
      </c>
      <c r="V26" s="314">
        <f>Юнг!D11</f>
        <v>-8.3431700000000006</v>
      </c>
      <c r="W26" s="302" t="e">
        <f t="shared" si="21"/>
        <v>#DIV/0!</v>
      </c>
      <c r="X26" s="310">
        <f>Юнг!C13</f>
        <v>20</v>
      </c>
      <c r="Y26" s="310">
        <f>Юнг!D13</f>
        <v>0</v>
      </c>
      <c r="Z26" s="302">
        <f t="shared" si="22"/>
        <v>0</v>
      </c>
      <c r="AA26" s="310">
        <f>Юнг!C15</f>
        <v>260</v>
      </c>
      <c r="AB26" s="301">
        <f>Юнг!D15</f>
        <v>3.1251099999999998</v>
      </c>
      <c r="AC26" s="302">
        <f t="shared" si="23"/>
        <v>1.2019653846153844</v>
      </c>
      <c r="AD26" s="310">
        <f>Юнг!C16</f>
        <v>1979</v>
      </c>
      <c r="AE26" s="310">
        <f>Юнг!D16</f>
        <v>233.93723</v>
      </c>
      <c r="AF26" s="302">
        <f t="shared" si="4"/>
        <v>11.820981808994443</v>
      </c>
      <c r="AG26" s="302">
        <f>Юнг!C18</f>
        <v>10</v>
      </c>
      <c r="AH26" s="302">
        <f>Юнг!D18</f>
        <v>1</v>
      </c>
      <c r="AI26" s="302">
        <f t="shared" si="24"/>
        <v>10</v>
      </c>
      <c r="AJ26" s="302"/>
      <c r="AK26" s="302"/>
      <c r="AL26" s="302" t="e">
        <f>AJ26/AK26*100</f>
        <v>#DIV/0!</v>
      </c>
      <c r="AM26" s="310">
        <v>0</v>
      </c>
      <c r="AN26" s="310"/>
      <c r="AO26" s="302" t="e">
        <f t="shared" si="6"/>
        <v>#DIV/0!</v>
      </c>
      <c r="AP26" s="310">
        <f>Юнг!C27</f>
        <v>353.3</v>
      </c>
      <c r="AQ26" s="311">
        <f>Юнг!D27</f>
        <v>34.602020000000003</v>
      </c>
      <c r="AR26" s="302">
        <f t="shared" si="25"/>
        <v>9.7939484857061991</v>
      </c>
      <c r="AS26" s="310">
        <f>Юнг!C28</f>
        <v>79.5</v>
      </c>
      <c r="AT26" s="311">
        <f>Юнг!D28</f>
        <v>8.2885200000000001</v>
      </c>
      <c r="AU26" s="302">
        <f t="shared" si="26"/>
        <v>10.425811320754717</v>
      </c>
      <c r="AV26" s="310"/>
      <c r="AW26" s="310"/>
      <c r="AX26" s="302" t="e">
        <f t="shared" si="27"/>
        <v>#DIV/0!</v>
      </c>
      <c r="AY26" s="302">
        <f>Юнг!C30</f>
        <v>0</v>
      </c>
      <c r="AZ26" s="305">
        <f>Юнг!D30</f>
        <v>10.142390000000001</v>
      </c>
      <c r="BA26" s="302" t="e">
        <f t="shared" si="28"/>
        <v>#DIV/0!</v>
      </c>
      <c r="BB26" s="302"/>
      <c r="BC26" s="302"/>
      <c r="BD26" s="302"/>
      <c r="BE26" s="302">
        <f>Юнг!C33</f>
        <v>0</v>
      </c>
      <c r="BF26" s="302">
        <f>Юнг!D31</f>
        <v>0</v>
      </c>
      <c r="BG26" s="302" t="e">
        <f t="shared" si="29"/>
        <v>#DIV/0!</v>
      </c>
      <c r="BH26" s="302"/>
      <c r="BI26" s="302"/>
      <c r="BJ26" s="302" t="e">
        <f t="shared" si="30"/>
        <v>#DIV/0!</v>
      </c>
      <c r="BK26" s="302"/>
      <c r="BL26" s="302"/>
      <c r="BM26" s="302"/>
      <c r="BN26" s="302">
        <f>Юнг!C34</f>
        <v>0</v>
      </c>
      <c r="BO26" s="302">
        <f>Юнг!D34</f>
        <v>0</v>
      </c>
      <c r="BP26" s="295" t="e">
        <f t="shared" si="31"/>
        <v>#DIV/0!</v>
      </c>
      <c r="BQ26" s="302">
        <f>Юнг!C36</f>
        <v>0</v>
      </c>
      <c r="BR26" s="302">
        <f>Юнг!D36</f>
        <v>0</v>
      </c>
      <c r="BS26" s="302" t="e">
        <f t="shared" si="32"/>
        <v>#DIV/0!</v>
      </c>
      <c r="BT26" s="302"/>
      <c r="BU26" s="302"/>
      <c r="BV26" s="312" t="e">
        <f t="shared" si="33"/>
        <v>#DIV/0!</v>
      </c>
      <c r="BW26" s="312"/>
      <c r="BX26" s="312"/>
      <c r="BY26" s="312" t="e">
        <f t="shared" si="34"/>
        <v>#DIV/0!</v>
      </c>
      <c r="BZ26" s="310">
        <f t="shared" si="35"/>
        <v>1555.3250000000003</v>
      </c>
      <c r="CA26" s="310">
        <f t="shared" si="36"/>
        <v>217.8246</v>
      </c>
      <c r="CB26" s="302">
        <f t="shared" si="55"/>
        <v>14.005085753781362</v>
      </c>
      <c r="CC26" s="302">
        <f>Юнг!C41</f>
        <v>415.4</v>
      </c>
      <c r="CD26" s="302">
        <f>Юнг!D41</f>
        <v>69.232200000000006</v>
      </c>
      <c r="CE26" s="302">
        <f t="shared" si="37"/>
        <v>16.666393837265289</v>
      </c>
      <c r="CF26" s="302">
        <f>Юнг!C42</f>
        <v>0</v>
      </c>
      <c r="CG26" s="453">
        <f>Юнг!D42</f>
        <v>0</v>
      </c>
      <c r="CH26" s="302" t="e">
        <f t="shared" si="38"/>
        <v>#DIV/0!</v>
      </c>
      <c r="CI26" s="302">
        <f>Юнг!C43</f>
        <v>1047.3400000000001</v>
      </c>
      <c r="CJ26" s="302">
        <f>Юнг!D43</f>
        <v>133.65899999999999</v>
      </c>
      <c r="CK26" s="302">
        <f t="shared" si="7"/>
        <v>12.761758359272058</v>
      </c>
      <c r="CL26" s="302">
        <f>Юнг!C44</f>
        <v>92.584999999999994</v>
      </c>
      <c r="CM26" s="302">
        <f>Юнг!D44</f>
        <v>14.933400000000001</v>
      </c>
      <c r="CN26" s="302">
        <f t="shared" si="8"/>
        <v>16.129394610358048</v>
      </c>
      <c r="CO26" s="302">
        <f>Юнг!C45</f>
        <v>0</v>
      </c>
      <c r="CP26" s="302">
        <f>Юнг!D45</f>
        <v>0</v>
      </c>
      <c r="CQ26" s="295" t="e">
        <f t="shared" si="39"/>
        <v>#DIV/0!</v>
      </c>
      <c r="CR26" s="314">
        <f>Юнг!C48</f>
        <v>0</v>
      </c>
      <c r="CS26" s="302">
        <f>Юнг!D48</f>
        <v>0</v>
      </c>
      <c r="CT26" s="302" t="e">
        <f t="shared" si="9"/>
        <v>#DIV/0!</v>
      </c>
      <c r="CU26" s="302"/>
      <c r="CV26" s="302">
        <f>Юнг!D47</f>
        <v>0</v>
      </c>
      <c r="CW26" s="302"/>
      <c r="CX26" s="310"/>
      <c r="CY26" s="310"/>
      <c r="CZ26" s="302" t="e">
        <f t="shared" si="40"/>
        <v>#DIV/0!</v>
      </c>
      <c r="DA26" s="302"/>
      <c r="DB26" s="302"/>
      <c r="DC26" s="302"/>
      <c r="DD26" s="302"/>
      <c r="DE26" s="302"/>
      <c r="DF26" s="302"/>
      <c r="DG26" s="304">
        <f t="shared" si="41"/>
        <v>4982.4650000000001</v>
      </c>
      <c r="DH26" s="304">
        <f t="shared" si="41"/>
        <v>555.40457000000004</v>
      </c>
      <c r="DI26" s="302">
        <f t="shared" si="42"/>
        <v>11.147184576309115</v>
      </c>
      <c r="DJ26" s="310">
        <f t="shared" si="43"/>
        <v>1513.4279999999999</v>
      </c>
      <c r="DK26" s="310">
        <f t="shared" si="43"/>
        <v>135.47792999999999</v>
      </c>
      <c r="DL26" s="302">
        <f t="shared" si="44"/>
        <v>8.9517261475273351</v>
      </c>
      <c r="DM26" s="302">
        <f>Юнг!C57</f>
        <v>1474.8</v>
      </c>
      <c r="DN26" s="302">
        <f>Юнг!D57</f>
        <v>135.47792999999999</v>
      </c>
      <c r="DO26" s="302">
        <f t="shared" si="45"/>
        <v>9.1861899918633032</v>
      </c>
      <c r="DP26" s="302">
        <f>Юнг!C60</f>
        <v>30</v>
      </c>
      <c r="DQ26" s="302">
        <f>Юнг!D60</f>
        <v>0</v>
      </c>
      <c r="DR26" s="302">
        <f t="shared" si="46"/>
        <v>0</v>
      </c>
      <c r="DS26" s="302">
        <f>Юнг!C61</f>
        <v>5</v>
      </c>
      <c r="DT26" s="302">
        <f>Юнг!D61</f>
        <v>0</v>
      </c>
      <c r="DU26" s="302">
        <f t="shared" si="47"/>
        <v>0</v>
      </c>
      <c r="DV26" s="302">
        <f>Юнг!C62</f>
        <v>3.6280000000000001</v>
      </c>
      <c r="DW26" s="302">
        <f>Юнг!D62</f>
        <v>0</v>
      </c>
      <c r="DX26" s="302">
        <f t="shared" si="48"/>
        <v>0</v>
      </c>
      <c r="DY26" s="302">
        <f>Юнг!C64</f>
        <v>89.605000000000004</v>
      </c>
      <c r="DZ26" s="302">
        <f>Юнг!D64</f>
        <v>9.8966399999999997</v>
      </c>
      <c r="EA26" s="302">
        <f t="shared" si="49"/>
        <v>11.044740806874616</v>
      </c>
      <c r="EB26" s="302">
        <f>Юнг!C65</f>
        <v>22</v>
      </c>
      <c r="EC26" s="302">
        <f>Юнг!D65</f>
        <v>1.5</v>
      </c>
      <c r="ED26" s="302">
        <f t="shared" si="50"/>
        <v>6.8181818181818175</v>
      </c>
      <c r="EE26" s="310">
        <f>Юнг!C71</f>
        <v>1894.4380000000001</v>
      </c>
      <c r="EF26" s="310">
        <f>Юнг!D71</f>
        <v>227.41</v>
      </c>
      <c r="EG26" s="302">
        <f t="shared" si="51"/>
        <v>12.004087755841047</v>
      </c>
      <c r="EH26" s="310">
        <f>Юнг!C76</f>
        <v>395.49400000000003</v>
      </c>
      <c r="EI26" s="310">
        <f>Юнг!D76</f>
        <v>4.5999999999999996</v>
      </c>
      <c r="EJ26" s="302">
        <f t="shared" si="52"/>
        <v>1.1631023479496527</v>
      </c>
      <c r="EK26" s="310">
        <f>Юнг!C80</f>
        <v>1065.5</v>
      </c>
      <c r="EL26" s="315">
        <f>Юнг!D80</f>
        <v>176.52</v>
      </c>
      <c r="EM26" s="302">
        <f t="shared" si="10"/>
        <v>16.566870014077896</v>
      </c>
      <c r="EN26" s="302">
        <f>Юнг!C82</f>
        <v>0</v>
      </c>
      <c r="EO26" s="302">
        <f>Юнг!D82</f>
        <v>0</v>
      </c>
      <c r="EP26" s="302" t="e">
        <f t="shared" si="11"/>
        <v>#DIV/0!</v>
      </c>
      <c r="EQ26" s="316">
        <f>Юнг!C87</f>
        <v>2</v>
      </c>
      <c r="ER26" s="316">
        <f>Юнг!D87</f>
        <v>0</v>
      </c>
      <c r="ES26" s="302">
        <f t="shared" si="53"/>
        <v>0</v>
      </c>
      <c r="ET26" s="302">
        <f>Юнг!C93</f>
        <v>0</v>
      </c>
      <c r="EU26" s="302">
        <f>Юнг!D93</f>
        <v>0</v>
      </c>
      <c r="EV26" s="302" t="e">
        <f t="shared" si="54"/>
        <v>#DIV/0!</v>
      </c>
      <c r="EW26" s="326">
        <f t="shared" si="12"/>
        <v>0</v>
      </c>
      <c r="EX26" s="326">
        <f t="shared" si="13"/>
        <v>68.354169999999954</v>
      </c>
      <c r="EY26" s="302" t="e">
        <f t="shared" si="56"/>
        <v>#DIV/0!</v>
      </c>
      <c r="EZ26" s="251"/>
      <c r="FA26" s="252"/>
      <c r="FC26" s="252"/>
    </row>
    <row r="27" spans="1:170" s="162" customFormat="1" ht="25.5" customHeight="1">
      <c r="A27" s="338">
        <v>14</v>
      </c>
      <c r="B27" s="340" t="s">
        <v>302</v>
      </c>
      <c r="C27" s="293">
        <f t="shared" si="14"/>
        <v>6772.7280000000001</v>
      </c>
      <c r="D27" s="294">
        <f t="shared" si="0"/>
        <v>888.04887999999983</v>
      </c>
      <c r="E27" s="302">
        <f t="shared" si="1"/>
        <v>13.112129706080028</v>
      </c>
      <c r="F27" s="296">
        <f t="shared" si="15"/>
        <v>1202.43</v>
      </c>
      <c r="G27" s="296">
        <f t="shared" si="3"/>
        <v>202.10228000000001</v>
      </c>
      <c r="H27" s="302">
        <f t="shared" si="16"/>
        <v>16.807820829486957</v>
      </c>
      <c r="I27" s="310">
        <f>Юсь!C6</f>
        <v>146.4</v>
      </c>
      <c r="J27" s="446">
        <f>Юсь!D6</f>
        <v>16.691079999999999</v>
      </c>
      <c r="K27" s="302">
        <f t="shared" si="17"/>
        <v>11.401010928961748</v>
      </c>
      <c r="L27" s="302">
        <f>Юсь!C8</f>
        <v>206.65</v>
      </c>
      <c r="M27" s="302">
        <f>Юсь!D8</f>
        <v>38.818210000000001</v>
      </c>
      <c r="N27" s="295">
        <f t="shared" si="18"/>
        <v>18.784519719332206</v>
      </c>
      <c r="O27" s="295">
        <f>Юсь!C9</f>
        <v>2.2200000000000002</v>
      </c>
      <c r="P27" s="330">
        <f>Юсь!D9</f>
        <v>0.24329000000000001</v>
      </c>
      <c r="Q27" s="295">
        <f t="shared" si="19"/>
        <v>10.959009009009009</v>
      </c>
      <c r="R27" s="295">
        <f>Юсь!C10</f>
        <v>345.16</v>
      </c>
      <c r="S27" s="295">
        <f>Юсь!D10</f>
        <v>55.565759999999997</v>
      </c>
      <c r="T27" s="295">
        <f t="shared" si="20"/>
        <v>16.098551396453818</v>
      </c>
      <c r="U27" s="295">
        <f>Юсь!C11</f>
        <v>0</v>
      </c>
      <c r="V27" s="299">
        <f>Юсь!D11</f>
        <v>-7.5784200000000004</v>
      </c>
      <c r="W27" s="295" t="e">
        <f t="shared" si="21"/>
        <v>#DIV/0!</v>
      </c>
      <c r="X27" s="310">
        <f>Юсь!C13</f>
        <v>5</v>
      </c>
      <c r="Y27" s="310">
        <f>Юсь!D13</f>
        <v>0</v>
      </c>
      <c r="Z27" s="302">
        <f t="shared" si="22"/>
        <v>0</v>
      </c>
      <c r="AA27" s="310">
        <f>Юсь!C15</f>
        <v>120</v>
      </c>
      <c r="AB27" s="301">
        <f>Юсь!D15</f>
        <v>4.5334099999999999</v>
      </c>
      <c r="AC27" s="302">
        <f t="shared" si="23"/>
        <v>3.7778416666666668</v>
      </c>
      <c r="AD27" s="310">
        <f>Юсь!C16</f>
        <v>312</v>
      </c>
      <c r="AE27" s="310">
        <f>Юсь!D16</f>
        <v>10.67493</v>
      </c>
      <c r="AF27" s="302">
        <f t="shared" si="4"/>
        <v>3.4214519230769227</v>
      </c>
      <c r="AG27" s="302">
        <f>Юсь!C18</f>
        <v>10</v>
      </c>
      <c r="AH27" s="302">
        <f>Юсь!D18</f>
        <v>1.1000000000000001</v>
      </c>
      <c r="AI27" s="302">
        <f t="shared" si="24"/>
        <v>11.000000000000002</v>
      </c>
      <c r="AJ27" s="302"/>
      <c r="AK27" s="302"/>
      <c r="AL27" s="302" t="e">
        <f>AJ27/AK27*100</f>
        <v>#DIV/0!</v>
      </c>
      <c r="AM27" s="310">
        <v>0</v>
      </c>
      <c r="AN27" s="310">
        <v>0</v>
      </c>
      <c r="AO27" s="302" t="e">
        <f t="shared" si="6"/>
        <v>#DIV/0!</v>
      </c>
      <c r="AP27" s="310">
        <f>Юсь!C27</f>
        <v>0</v>
      </c>
      <c r="AQ27" s="311">
        <f>Юсь!D27</f>
        <v>0</v>
      </c>
      <c r="AR27" s="302" t="e">
        <f t="shared" si="25"/>
        <v>#DIV/0!</v>
      </c>
      <c r="AS27" s="304">
        <f>Юсь!C28</f>
        <v>55</v>
      </c>
      <c r="AT27" s="311">
        <f>Юсь!D28</f>
        <v>9</v>
      </c>
      <c r="AU27" s="302">
        <f t="shared" si="26"/>
        <v>16.363636363636363</v>
      </c>
      <c r="AV27" s="310"/>
      <c r="AW27" s="310"/>
      <c r="AX27" s="302" t="e">
        <f t="shared" si="27"/>
        <v>#DIV/0!</v>
      </c>
      <c r="AY27" s="302">
        <f>Юсь!C30</f>
        <v>0</v>
      </c>
      <c r="AZ27" s="305">
        <f>Юсь!D30</f>
        <v>73.054019999999994</v>
      </c>
      <c r="BA27" s="302" t="e">
        <f t="shared" si="28"/>
        <v>#DIV/0!</v>
      </c>
      <c r="BB27" s="302"/>
      <c r="BC27" s="302"/>
      <c r="BD27" s="302"/>
      <c r="BE27" s="302">
        <f>Юсь!C31</f>
        <v>0</v>
      </c>
      <c r="BF27" s="302">
        <f>Юсь!D31</f>
        <v>0</v>
      </c>
      <c r="BG27" s="302" t="e">
        <f t="shared" si="29"/>
        <v>#DIV/0!</v>
      </c>
      <c r="BH27" s="302"/>
      <c r="BI27" s="302"/>
      <c r="BJ27" s="302" t="e">
        <f t="shared" si="30"/>
        <v>#DIV/0!</v>
      </c>
      <c r="BK27" s="302"/>
      <c r="BL27" s="302"/>
      <c r="BM27" s="302"/>
      <c r="BN27" s="302"/>
      <c r="BO27" s="302"/>
      <c r="BP27" s="295" t="e">
        <f t="shared" si="31"/>
        <v>#DIV/0!</v>
      </c>
      <c r="BQ27" s="302">
        <f>Юсь!C34</f>
        <v>0</v>
      </c>
      <c r="BR27" s="302">
        <f>Юсь!D34</f>
        <v>0</v>
      </c>
      <c r="BS27" s="302" t="e">
        <f t="shared" si="32"/>
        <v>#DIV/0!</v>
      </c>
      <c r="BT27" s="302"/>
      <c r="BU27" s="302"/>
      <c r="BV27" s="312" t="e">
        <f t="shared" si="33"/>
        <v>#DIV/0!</v>
      </c>
      <c r="BW27" s="312"/>
      <c r="BX27" s="312"/>
      <c r="BY27" s="312" t="e">
        <f t="shared" si="34"/>
        <v>#DIV/0!</v>
      </c>
      <c r="BZ27" s="300">
        <f t="shared" si="35"/>
        <v>5570.2979999999998</v>
      </c>
      <c r="CA27" s="300">
        <f t="shared" si="36"/>
        <v>685.94659999999988</v>
      </c>
      <c r="CB27" s="302">
        <f t="shared" si="55"/>
        <v>12.314360919290133</v>
      </c>
      <c r="CC27" s="302">
        <f>Юсь!C39</f>
        <v>3421</v>
      </c>
      <c r="CD27" s="302">
        <f>Юсь!D39</f>
        <v>570.15599999999995</v>
      </c>
      <c r="CE27" s="302">
        <f t="shared" si="37"/>
        <v>16.666354866997953</v>
      </c>
      <c r="CF27" s="302">
        <f>Юсь!C41</f>
        <v>0</v>
      </c>
      <c r="CG27" s="453">
        <f>Юсь!D41</f>
        <v>0</v>
      </c>
      <c r="CH27" s="302" t="e">
        <f t="shared" si="38"/>
        <v>#DIV/0!</v>
      </c>
      <c r="CI27" s="302">
        <f>Юсь!C42</f>
        <v>1965.91</v>
      </c>
      <c r="CJ27" s="302">
        <f>Юсь!D42</f>
        <v>85.924000000000007</v>
      </c>
      <c r="CK27" s="302">
        <f t="shared" si="7"/>
        <v>4.3706985569024015</v>
      </c>
      <c r="CL27" s="302">
        <f>Юсь!C43</f>
        <v>183.38800000000001</v>
      </c>
      <c r="CM27" s="302">
        <f>Юсь!D43</f>
        <v>29.866599999999998</v>
      </c>
      <c r="CN27" s="302">
        <f t="shared" si="8"/>
        <v>16.286016533251903</v>
      </c>
      <c r="CO27" s="302">
        <f>Юсь!C50</f>
        <v>0</v>
      </c>
      <c r="CP27" s="302">
        <f>Юсь!D50</f>
        <v>0</v>
      </c>
      <c r="CQ27" s="295" t="e">
        <f t="shared" si="39"/>
        <v>#DIV/0!</v>
      </c>
      <c r="CR27" s="314">
        <f>Юсь!C51</f>
        <v>0</v>
      </c>
      <c r="CS27" s="302">
        <f>Юсь!D51</f>
        <v>0</v>
      </c>
      <c r="CT27" s="302" t="e">
        <f t="shared" si="9"/>
        <v>#DIV/0!</v>
      </c>
      <c r="CU27" s="302"/>
      <c r="CV27" s="302"/>
      <c r="CW27" s="302"/>
      <c r="CX27" s="310"/>
      <c r="CY27" s="310"/>
      <c r="CZ27" s="302" t="e">
        <f t="shared" si="40"/>
        <v>#DIV/0!</v>
      </c>
      <c r="DA27" s="302"/>
      <c r="DB27" s="302"/>
      <c r="DC27" s="302"/>
      <c r="DD27" s="302"/>
      <c r="DE27" s="302"/>
      <c r="DF27" s="302"/>
      <c r="DG27" s="304">
        <f t="shared" si="41"/>
        <v>6772.7280000000001</v>
      </c>
      <c r="DH27" s="304">
        <f t="shared" si="41"/>
        <v>747.27972</v>
      </c>
      <c r="DI27" s="302">
        <f t="shared" si="42"/>
        <v>11.033659110479558</v>
      </c>
      <c r="DJ27" s="310">
        <f t="shared" si="43"/>
        <v>1382.8620000000001</v>
      </c>
      <c r="DK27" s="310">
        <f t="shared" si="43"/>
        <v>192.57861</v>
      </c>
      <c r="DL27" s="302">
        <f t="shared" si="44"/>
        <v>13.926090238939242</v>
      </c>
      <c r="DM27" s="302">
        <f>Юсь!C59</f>
        <v>1339.662</v>
      </c>
      <c r="DN27" s="302">
        <f>Юсь!D59</f>
        <v>192.57861</v>
      </c>
      <c r="DO27" s="302">
        <f t="shared" si="45"/>
        <v>14.375164033913032</v>
      </c>
      <c r="DP27" s="302">
        <f>Юсь!C62</f>
        <v>34</v>
      </c>
      <c r="DQ27" s="302">
        <f>Юсь!D62</f>
        <v>0</v>
      </c>
      <c r="DR27" s="302">
        <f t="shared" si="46"/>
        <v>0</v>
      </c>
      <c r="DS27" s="302">
        <f>Юсь!C63</f>
        <v>5</v>
      </c>
      <c r="DT27" s="302">
        <f>Юсь!D63</f>
        <v>0</v>
      </c>
      <c r="DU27" s="302">
        <f t="shared" si="47"/>
        <v>0</v>
      </c>
      <c r="DV27" s="302">
        <f>Юсь!C64</f>
        <v>4.2</v>
      </c>
      <c r="DW27" s="302">
        <f>Юсь!D64</f>
        <v>0</v>
      </c>
      <c r="DX27" s="302">
        <f t="shared" si="48"/>
        <v>0</v>
      </c>
      <c r="DY27" s="302">
        <f>Юсь!C66</f>
        <v>179.208</v>
      </c>
      <c r="DZ27" s="302">
        <f>Юсь!D66</f>
        <v>19.795000000000002</v>
      </c>
      <c r="EA27" s="302">
        <f t="shared" si="49"/>
        <v>11.045823847149681</v>
      </c>
      <c r="EB27" s="302">
        <f>Юсь!C67</f>
        <v>12</v>
      </c>
      <c r="EC27" s="302">
        <f>Юсь!D67</f>
        <v>1.5</v>
      </c>
      <c r="ED27" s="302">
        <f t="shared" si="50"/>
        <v>12.5</v>
      </c>
      <c r="EE27" s="310">
        <f>Юсь!C73</f>
        <v>2091.8609999999999</v>
      </c>
      <c r="EF27" s="310">
        <f>Юсь!D73</f>
        <v>217.80199999999999</v>
      </c>
      <c r="EG27" s="302">
        <f t="shared" si="51"/>
        <v>10.411877271004144</v>
      </c>
      <c r="EH27" s="310">
        <f>Юсь!C78</f>
        <v>1002.797</v>
      </c>
      <c r="EI27" s="310">
        <f>Юсь!D78</f>
        <v>0</v>
      </c>
      <c r="EJ27" s="302">
        <f t="shared" si="52"/>
        <v>0</v>
      </c>
      <c r="EK27" s="310">
        <f>Юсь!C82</f>
        <v>2102</v>
      </c>
      <c r="EL27" s="315">
        <f>Юсь!D82</f>
        <v>315.60410999999999</v>
      </c>
      <c r="EM27" s="302">
        <f t="shared" si="10"/>
        <v>15.014467649857277</v>
      </c>
      <c r="EN27" s="302">
        <f>Юсь!C84</f>
        <v>0</v>
      </c>
      <c r="EO27" s="302">
        <f>Юсь!D84</f>
        <v>0</v>
      </c>
      <c r="EP27" s="302" t="e">
        <f t="shared" si="11"/>
        <v>#DIV/0!</v>
      </c>
      <c r="EQ27" s="316">
        <f>Юсь!C89</f>
        <v>2</v>
      </c>
      <c r="ER27" s="316">
        <f>Юсь!D89</f>
        <v>0</v>
      </c>
      <c r="ES27" s="302">
        <f t="shared" si="53"/>
        <v>0</v>
      </c>
      <c r="ET27" s="302">
        <f>Юсь!C95</f>
        <v>0</v>
      </c>
      <c r="EU27" s="302">
        <f>Юсь!D95</f>
        <v>0</v>
      </c>
      <c r="EV27" s="295" t="e">
        <f t="shared" si="54"/>
        <v>#DIV/0!</v>
      </c>
      <c r="EW27" s="309">
        <f t="shared" si="12"/>
        <v>0</v>
      </c>
      <c r="EX27" s="309">
        <f t="shared" si="13"/>
        <v>140.76915999999983</v>
      </c>
      <c r="EY27" s="295" t="e">
        <f t="shared" si="56"/>
        <v>#DIV/0!</v>
      </c>
      <c r="EZ27" s="164"/>
      <c r="FA27" s="165"/>
      <c r="FC27" s="165"/>
    </row>
    <row r="28" spans="1:170" s="162" customFormat="1" ht="23.25" customHeight="1">
      <c r="A28" s="338">
        <v>15</v>
      </c>
      <c r="B28" s="340" t="s">
        <v>303</v>
      </c>
      <c r="C28" s="317">
        <f t="shared" si="14"/>
        <v>7506.5469999999996</v>
      </c>
      <c r="D28" s="294">
        <f>G28+CA28+CY28</f>
        <v>760.53196000000003</v>
      </c>
      <c r="E28" s="302">
        <f>D28/C28*100</f>
        <v>10.131581937740483</v>
      </c>
      <c r="F28" s="296">
        <f t="shared" si="15"/>
        <v>2530.96</v>
      </c>
      <c r="G28" s="296">
        <f>J28+Y28+AB28+AE28+AH28+AN28+AT28+BF28+AK28+BR28+BO28+AZ28+M28+S28+P28+V28+AQ28</f>
        <v>310.15636000000001</v>
      </c>
      <c r="H28" s="302">
        <f>G28/F28*100</f>
        <v>12.254494737174827</v>
      </c>
      <c r="I28" s="310">
        <f>Яра!C6</f>
        <v>114.5</v>
      </c>
      <c r="J28" s="446">
        <f>Яра!D6</f>
        <v>27.518229999999999</v>
      </c>
      <c r="K28" s="302">
        <f t="shared" si="17"/>
        <v>24.033388646288209</v>
      </c>
      <c r="L28" s="302">
        <f>Яра!C8</f>
        <v>319.45999999999998</v>
      </c>
      <c r="M28" s="302">
        <f>Яра!D8</f>
        <v>60.007980000000003</v>
      </c>
      <c r="N28" s="295">
        <f t="shared" si="18"/>
        <v>18.784192074125087</v>
      </c>
      <c r="O28" s="295">
        <f>Яра!C9</f>
        <v>3.43</v>
      </c>
      <c r="P28" s="330">
        <f>Яра!D9</f>
        <v>0.37607000000000002</v>
      </c>
      <c r="Q28" s="295">
        <f t="shared" si="19"/>
        <v>10.964139941690961</v>
      </c>
      <c r="R28" s="295">
        <f>Яра!C10</f>
        <v>533.57000000000005</v>
      </c>
      <c r="S28" s="295">
        <f>Яра!D10</f>
        <v>85.897530000000003</v>
      </c>
      <c r="T28" s="295">
        <f t="shared" si="20"/>
        <v>16.098643102123429</v>
      </c>
      <c r="U28" s="295">
        <f>Яра!C11</f>
        <v>0</v>
      </c>
      <c r="V28" s="299">
        <f>Яра!D11</f>
        <v>-11.715210000000001</v>
      </c>
      <c r="W28" s="295" t="e">
        <f t="shared" si="21"/>
        <v>#DIV/0!</v>
      </c>
      <c r="X28" s="310">
        <f>Яра!C13</f>
        <v>20</v>
      </c>
      <c r="Y28" s="310">
        <f>Яра!D13</f>
        <v>2.8584000000000001</v>
      </c>
      <c r="Z28" s="302">
        <f t="shared" si="22"/>
        <v>14.292</v>
      </c>
      <c r="AA28" s="310">
        <f>Яра!C15</f>
        <v>245</v>
      </c>
      <c r="AB28" s="301">
        <f>Яра!D15</f>
        <v>26.41508</v>
      </c>
      <c r="AC28" s="302">
        <f t="shared" si="23"/>
        <v>10.781665306122449</v>
      </c>
      <c r="AD28" s="310">
        <f>Яра!C16</f>
        <v>1250</v>
      </c>
      <c r="AE28" s="310">
        <f>Яра!D16</f>
        <v>112.04268</v>
      </c>
      <c r="AF28" s="302">
        <f t="shared" si="4"/>
        <v>8.9634143999999996</v>
      </c>
      <c r="AG28" s="302">
        <f>Яра!C18</f>
        <v>15</v>
      </c>
      <c r="AH28" s="302">
        <f>Яра!D18</f>
        <v>0</v>
      </c>
      <c r="AI28" s="302">
        <f t="shared" si="24"/>
        <v>0</v>
      </c>
      <c r="AJ28" s="302"/>
      <c r="AK28" s="302"/>
      <c r="AL28" s="302" t="e">
        <f>AJ28/AK28*100</f>
        <v>#DIV/0!</v>
      </c>
      <c r="AM28" s="310">
        <v>0</v>
      </c>
      <c r="AN28" s="310">
        <v>0</v>
      </c>
      <c r="AO28" s="302" t="e">
        <f t="shared" si="6"/>
        <v>#DIV/0!</v>
      </c>
      <c r="AP28" s="310">
        <f>Яра!C27</f>
        <v>30</v>
      </c>
      <c r="AQ28" s="311">
        <f>Яра!D27</f>
        <v>6.7556000000000003</v>
      </c>
      <c r="AR28" s="302">
        <f t="shared" si="25"/>
        <v>22.518666666666668</v>
      </c>
      <c r="AS28" s="304">
        <f>Яра!C28</f>
        <v>0</v>
      </c>
      <c r="AT28" s="311">
        <f>Яра!D28</f>
        <v>0</v>
      </c>
      <c r="AU28" s="302" t="e">
        <f t="shared" si="26"/>
        <v>#DIV/0!</v>
      </c>
      <c r="AV28" s="310"/>
      <c r="AW28" s="310"/>
      <c r="AX28" s="302" t="e">
        <f t="shared" si="27"/>
        <v>#DIV/0!</v>
      </c>
      <c r="AY28" s="302">
        <f>Яра!C31</f>
        <v>0</v>
      </c>
      <c r="AZ28" s="305">
        <f>Яра!D31</f>
        <v>0</v>
      </c>
      <c r="BA28" s="302" t="e">
        <f t="shared" si="28"/>
        <v>#DIV/0!</v>
      </c>
      <c r="BB28" s="302"/>
      <c r="BC28" s="302"/>
      <c r="BD28" s="302"/>
      <c r="BE28" s="302">
        <f>Яра!C34</f>
        <v>0</v>
      </c>
      <c r="BF28" s="302">
        <v>0</v>
      </c>
      <c r="BG28" s="302" t="e">
        <f t="shared" si="29"/>
        <v>#DIV/0!</v>
      </c>
      <c r="BH28" s="302"/>
      <c r="BI28" s="302"/>
      <c r="BJ28" s="302" t="e">
        <f t="shared" si="30"/>
        <v>#DIV/0!</v>
      </c>
      <c r="BK28" s="302"/>
      <c r="BL28" s="302"/>
      <c r="BM28" s="302"/>
      <c r="BN28" s="302">
        <f>Яра!C35</f>
        <v>0</v>
      </c>
      <c r="BO28" s="302">
        <f>Яра!D35</f>
        <v>0</v>
      </c>
      <c r="BP28" s="295" t="e">
        <f t="shared" si="31"/>
        <v>#DIV/0!</v>
      </c>
      <c r="BQ28" s="302">
        <f>Яра!C37</f>
        <v>0</v>
      </c>
      <c r="BR28" s="302">
        <f>Яра!D37</f>
        <v>0</v>
      </c>
      <c r="BS28" s="302" t="e">
        <f t="shared" si="32"/>
        <v>#DIV/0!</v>
      </c>
      <c r="BT28" s="302"/>
      <c r="BU28" s="302"/>
      <c r="BV28" s="312" t="e">
        <f t="shared" si="33"/>
        <v>#DIV/0!</v>
      </c>
      <c r="BW28" s="312"/>
      <c r="BX28" s="312"/>
      <c r="BY28" s="312" t="e">
        <f t="shared" si="34"/>
        <v>#DIV/0!</v>
      </c>
      <c r="BZ28" s="300">
        <f t="shared" si="35"/>
        <v>4975.5869999999995</v>
      </c>
      <c r="CA28" s="300">
        <f t="shared" si="36"/>
        <v>450.37560000000002</v>
      </c>
      <c r="CB28" s="302">
        <f t="shared" si="55"/>
        <v>9.0517078688404009</v>
      </c>
      <c r="CC28" s="302">
        <f>Яра!C42</f>
        <v>2004.7</v>
      </c>
      <c r="CD28" s="302">
        <f>Яра!D42</f>
        <v>334.11</v>
      </c>
      <c r="CE28" s="302">
        <f t="shared" si="37"/>
        <v>16.66633411483015</v>
      </c>
      <c r="CF28" s="302">
        <f>Яра!C43</f>
        <v>414</v>
      </c>
      <c r="CG28" s="453">
        <f>Яра!D43</f>
        <v>0</v>
      </c>
      <c r="CH28" s="302">
        <f t="shared" si="38"/>
        <v>0</v>
      </c>
      <c r="CI28" s="302">
        <f>Яра!C44</f>
        <v>2373.5</v>
      </c>
      <c r="CJ28" s="302">
        <f>Яра!D44</f>
        <v>86.399000000000001</v>
      </c>
      <c r="CK28" s="302">
        <f t="shared" si="7"/>
        <v>3.6401516747419418</v>
      </c>
      <c r="CL28" s="302">
        <f>Яра!C45</f>
        <v>183.387</v>
      </c>
      <c r="CM28" s="302">
        <f>Яра!D45</f>
        <v>29.866599999999998</v>
      </c>
      <c r="CN28" s="302">
        <f t="shared" si="8"/>
        <v>16.286105340073178</v>
      </c>
      <c r="CO28" s="302">
        <f>Яра!C47</f>
        <v>0</v>
      </c>
      <c r="CP28" s="302">
        <f>Яра!D47</f>
        <v>0</v>
      </c>
      <c r="CQ28" s="295" t="e">
        <f t="shared" si="39"/>
        <v>#DIV/0!</v>
      </c>
      <c r="CR28" s="314">
        <f>Яра!C51</f>
        <v>0</v>
      </c>
      <c r="CS28" s="302">
        <f>Яра!D51</f>
        <v>0</v>
      </c>
      <c r="CT28" s="302" t="e">
        <f t="shared" si="9"/>
        <v>#DIV/0!</v>
      </c>
      <c r="CU28" s="302"/>
      <c r="CV28" s="302"/>
      <c r="CW28" s="302"/>
      <c r="CX28" s="310"/>
      <c r="CY28" s="310"/>
      <c r="CZ28" s="302" t="e">
        <f t="shared" si="40"/>
        <v>#DIV/0!</v>
      </c>
      <c r="DA28" s="302"/>
      <c r="DB28" s="302">
        <f>Яра!D46</f>
        <v>0</v>
      </c>
      <c r="DC28" s="302" t="e">
        <f>DB28/DA28</f>
        <v>#DIV/0!</v>
      </c>
      <c r="DD28" s="302"/>
      <c r="DE28" s="302"/>
      <c r="DF28" s="302"/>
      <c r="DG28" s="304">
        <f t="shared" si="41"/>
        <v>7673.5470000000005</v>
      </c>
      <c r="DH28" s="304">
        <f t="shared" si="41"/>
        <v>693.59544000000005</v>
      </c>
      <c r="DI28" s="302">
        <f t="shared" si="42"/>
        <v>9.0387853231367465</v>
      </c>
      <c r="DJ28" s="310">
        <f t="shared" si="43"/>
        <v>1574.202</v>
      </c>
      <c r="DK28" s="310">
        <f t="shared" si="43"/>
        <v>175.94698</v>
      </c>
      <c r="DL28" s="302">
        <f t="shared" si="44"/>
        <v>11.176899787956057</v>
      </c>
      <c r="DM28" s="302">
        <f>Яра!C59</f>
        <v>1526.1</v>
      </c>
      <c r="DN28" s="302">
        <f>Яра!D59</f>
        <v>175.94698</v>
      </c>
      <c r="DO28" s="302">
        <f t="shared" si="45"/>
        <v>11.529190747657427</v>
      </c>
      <c r="DP28" s="302">
        <f>Яра!C62</f>
        <v>39</v>
      </c>
      <c r="DQ28" s="302">
        <f>Яра!D62</f>
        <v>0</v>
      </c>
      <c r="DR28" s="302">
        <f t="shared" si="46"/>
        <v>0</v>
      </c>
      <c r="DS28" s="302">
        <f>Яра!C63</f>
        <v>5</v>
      </c>
      <c r="DT28" s="302">
        <f>Яра!D63</f>
        <v>0</v>
      </c>
      <c r="DU28" s="302">
        <f t="shared" si="47"/>
        <v>0</v>
      </c>
      <c r="DV28" s="302">
        <f>Яра!C64</f>
        <v>4.1020000000000003</v>
      </c>
      <c r="DW28" s="302">
        <f>Яра!D64</f>
        <v>0</v>
      </c>
      <c r="DX28" s="302">
        <f t="shared" si="48"/>
        <v>0</v>
      </c>
      <c r="DY28" s="302">
        <f>Яра!C66</f>
        <v>179.20699999999999</v>
      </c>
      <c r="DZ28" s="302">
        <f>Яра!D65</f>
        <v>20.593260000000001</v>
      </c>
      <c r="EA28" s="302">
        <f t="shared" si="49"/>
        <v>11.491325673662303</v>
      </c>
      <c r="EB28" s="302">
        <f>Яра!C67</f>
        <v>12</v>
      </c>
      <c r="EC28" s="302">
        <f>Яра!D67</f>
        <v>1</v>
      </c>
      <c r="ED28" s="302">
        <f t="shared" si="50"/>
        <v>8.3333333333333321</v>
      </c>
      <c r="EE28" s="310">
        <f>Яра!C73</f>
        <v>3493.9810000000002</v>
      </c>
      <c r="EF28" s="310">
        <f>Яра!D73</f>
        <v>110.179</v>
      </c>
      <c r="EG28" s="302">
        <f t="shared" si="51"/>
        <v>3.1533943659109762</v>
      </c>
      <c r="EH28" s="310">
        <f>Яра!C78</f>
        <v>415.75700000000001</v>
      </c>
      <c r="EI28" s="310">
        <f>Яра!D78</f>
        <v>53.714550000000003</v>
      </c>
      <c r="EJ28" s="302">
        <f t="shared" si="52"/>
        <v>12.919698285296461</v>
      </c>
      <c r="EK28" s="310">
        <f>Яра!C82</f>
        <v>1946.4</v>
      </c>
      <c r="EL28" s="315">
        <f>Яра!D82</f>
        <v>324.96165000000002</v>
      </c>
      <c r="EM28" s="302">
        <f t="shared" si="10"/>
        <v>16.695522503082614</v>
      </c>
      <c r="EN28" s="302">
        <f>Яра!C84</f>
        <v>0</v>
      </c>
      <c r="EO28" s="302">
        <f>Яра!D84</f>
        <v>0</v>
      </c>
      <c r="EP28" s="302" t="e">
        <f t="shared" si="11"/>
        <v>#DIV/0!</v>
      </c>
      <c r="EQ28" s="316">
        <f>Яра!C89</f>
        <v>52</v>
      </c>
      <c r="ER28" s="316">
        <f>Яра!D89</f>
        <v>7.2</v>
      </c>
      <c r="ES28" s="302">
        <f t="shared" si="53"/>
        <v>13.846153846153847</v>
      </c>
      <c r="ET28" s="302">
        <f>Яра!C95</f>
        <v>0</v>
      </c>
      <c r="EU28" s="302">
        <f>Яра!D95</f>
        <v>0</v>
      </c>
      <c r="EV28" s="295" t="e">
        <f t="shared" si="54"/>
        <v>#DIV/0!</v>
      </c>
      <c r="EW28" s="309">
        <f t="shared" si="12"/>
        <v>-167.00000000000091</v>
      </c>
      <c r="EX28" s="309">
        <f t="shared" si="13"/>
        <v>66.936519999999973</v>
      </c>
      <c r="EY28" s="295">
        <f t="shared" si="56"/>
        <v>-40.081748502993783</v>
      </c>
      <c r="EZ28" s="164"/>
      <c r="FA28" s="165"/>
      <c r="FC28" s="165"/>
    </row>
    <row r="29" spans="1:170" s="162" customFormat="1" ht="25.5" customHeight="1">
      <c r="A29" s="338">
        <v>16</v>
      </c>
      <c r="B29" s="339" t="s">
        <v>304</v>
      </c>
      <c r="C29" s="293">
        <f t="shared" si="14"/>
        <v>6493.9850000000006</v>
      </c>
      <c r="D29" s="294">
        <f t="shared" si="0"/>
        <v>423.69407000000001</v>
      </c>
      <c r="E29" s="295">
        <f t="shared" si="1"/>
        <v>6.5244078943822625</v>
      </c>
      <c r="F29" s="296">
        <f t="shared" si="15"/>
        <v>2228.6400000000003</v>
      </c>
      <c r="G29" s="296">
        <f t="shared" si="3"/>
        <v>287.07866999999999</v>
      </c>
      <c r="H29" s="295">
        <f t="shared" si="16"/>
        <v>12.881338843420201</v>
      </c>
      <c r="I29" s="300">
        <f>Яро!C6</f>
        <v>111</v>
      </c>
      <c r="J29" s="446">
        <f>Яро!D6</f>
        <v>17.826239999999999</v>
      </c>
      <c r="K29" s="295">
        <f t="shared" si="17"/>
        <v>16.059675675675674</v>
      </c>
      <c r="L29" s="295">
        <f>Яро!C8</f>
        <v>183.91</v>
      </c>
      <c r="M29" s="295">
        <f>Яро!D8</f>
        <v>34.544640000000001</v>
      </c>
      <c r="N29" s="295">
        <f t="shared" si="18"/>
        <v>18.783448425860477</v>
      </c>
      <c r="O29" s="295">
        <f>Яро!C9</f>
        <v>1.97</v>
      </c>
      <c r="P29" s="330">
        <f>Яро!D9</f>
        <v>0.21648999999999999</v>
      </c>
      <c r="Q29" s="295">
        <f t="shared" si="19"/>
        <v>10.989340101522842</v>
      </c>
      <c r="R29" s="295">
        <f>Яро!C10</f>
        <v>307.16000000000003</v>
      </c>
      <c r="S29" s="295">
        <f>Яро!D10</f>
        <v>49.448439999999998</v>
      </c>
      <c r="T29" s="295">
        <f t="shared" si="20"/>
        <v>16.098593566870683</v>
      </c>
      <c r="U29" s="295">
        <f>Яро!C11</f>
        <v>0</v>
      </c>
      <c r="V29" s="299">
        <f>Яро!D11</f>
        <v>-6.7440899999999999</v>
      </c>
      <c r="W29" s="295" t="e">
        <f t="shared" si="21"/>
        <v>#DIV/0!</v>
      </c>
      <c r="X29" s="300">
        <f>Яро!C13</f>
        <v>5</v>
      </c>
      <c r="Y29" s="300">
        <f>Яро!D13</f>
        <v>0</v>
      </c>
      <c r="Z29" s="295">
        <f t="shared" si="22"/>
        <v>0</v>
      </c>
      <c r="AA29" s="300">
        <f>Яро!C15</f>
        <v>470</v>
      </c>
      <c r="AB29" s="301">
        <f>Яро!D15</f>
        <v>24.052070000000001</v>
      </c>
      <c r="AC29" s="295">
        <f t="shared" si="23"/>
        <v>5.1174617021276596</v>
      </c>
      <c r="AD29" s="300">
        <f>Яро!C16</f>
        <v>914</v>
      </c>
      <c r="AE29" s="300">
        <f>Яро!D16</f>
        <v>43.873899999999999</v>
      </c>
      <c r="AF29" s="295">
        <f t="shared" si="4"/>
        <v>4.8002078774617072</v>
      </c>
      <c r="AG29" s="295">
        <f>Яро!C18</f>
        <v>5</v>
      </c>
      <c r="AH29" s="295">
        <f>Яро!D18</f>
        <v>1.6</v>
      </c>
      <c r="AI29" s="295">
        <f t="shared" si="24"/>
        <v>32</v>
      </c>
      <c r="AJ29" s="295"/>
      <c r="AK29" s="295"/>
      <c r="AL29" s="295" t="e">
        <f>AJ29/AK29*100</f>
        <v>#DIV/0!</v>
      </c>
      <c r="AM29" s="300">
        <v>0</v>
      </c>
      <c r="AN29" s="300">
        <v>0</v>
      </c>
      <c r="AO29" s="295" t="e">
        <f t="shared" si="6"/>
        <v>#DIV/0!</v>
      </c>
      <c r="AP29" s="300">
        <f>Яро!C26</f>
        <v>230.6</v>
      </c>
      <c r="AQ29" s="303">
        <f>Яро!D27</f>
        <v>117.84098</v>
      </c>
      <c r="AR29" s="295">
        <f t="shared" si="25"/>
        <v>51.101899392888114</v>
      </c>
      <c r="AS29" s="304">
        <v>0</v>
      </c>
      <c r="AT29" s="303">
        <f>Яро!D28</f>
        <v>0</v>
      </c>
      <c r="AU29" s="295" t="e">
        <f t="shared" si="26"/>
        <v>#DIV/0!</v>
      </c>
      <c r="AV29" s="300"/>
      <c r="AW29" s="300"/>
      <c r="AX29" s="295" t="e">
        <f t="shared" si="27"/>
        <v>#DIV/0!</v>
      </c>
      <c r="AY29" s="295"/>
      <c r="AZ29" s="305">
        <f>Яро!D29</f>
        <v>0</v>
      </c>
      <c r="BA29" s="295" t="e">
        <f t="shared" si="28"/>
        <v>#DIV/0!</v>
      </c>
      <c r="BB29" s="295"/>
      <c r="BC29" s="295"/>
      <c r="BD29" s="295"/>
      <c r="BE29" s="295">
        <f>Яро!C31</f>
        <v>0</v>
      </c>
      <c r="BF29" s="295">
        <f>Яро!D31</f>
        <v>4.42</v>
      </c>
      <c r="BG29" s="295" t="e">
        <f t="shared" si="29"/>
        <v>#DIV/0!</v>
      </c>
      <c r="BH29" s="295"/>
      <c r="BI29" s="295"/>
      <c r="BJ29" s="295" t="e">
        <f t="shared" si="30"/>
        <v>#DIV/0!</v>
      </c>
      <c r="BK29" s="295"/>
      <c r="BL29" s="295"/>
      <c r="BM29" s="295"/>
      <c r="BN29" s="295">
        <f>Яро!C34</f>
        <v>0</v>
      </c>
      <c r="BO29" s="295">
        <f>Яро!D34</f>
        <v>0</v>
      </c>
      <c r="BP29" s="295" t="e">
        <f t="shared" si="31"/>
        <v>#DIV/0!</v>
      </c>
      <c r="BQ29" s="295">
        <v>0</v>
      </c>
      <c r="BR29" s="295">
        <v>0</v>
      </c>
      <c r="BS29" s="295" t="e">
        <f t="shared" si="32"/>
        <v>#DIV/0!</v>
      </c>
      <c r="BT29" s="295"/>
      <c r="BU29" s="295"/>
      <c r="BV29" s="307" t="e">
        <f t="shared" si="33"/>
        <v>#DIV/0!</v>
      </c>
      <c r="BW29" s="307"/>
      <c r="BX29" s="307"/>
      <c r="BY29" s="307" t="e">
        <f t="shared" si="34"/>
        <v>#DIV/0!</v>
      </c>
      <c r="BZ29" s="300">
        <f t="shared" si="35"/>
        <v>4265.3450000000003</v>
      </c>
      <c r="CA29" s="300">
        <f t="shared" si="36"/>
        <v>136.61539999999999</v>
      </c>
      <c r="CB29" s="295">
        <f t="shared" si="55"/>
        <v>3.2029155906497597</v>
      </c>
      <c r="CC29" s="302">
        <f>Яро!C39</f>
        <v>730.1</v>
      </c>
      <c r="CD29" s="302">
        <f>Яро!D39</f>
        <v>121.682</v>
      </c>
      <c r="CE29" s="295">
        <f t="shared" si="37"/>
        <v>16.666484043281741</v>
      </c>
      <c r="CF29" s="295">
        <f>Яро!C40</f>
        <v>1220</v>
      </c>
      <c r="CG29" s="452">
        <f>Яро!D40</f>
        <v>0</v>
      </c>
      <c r="CH29" s="295">
        <f t="shared" si="38"/>
        <v>0</v>
      </c>
      <c r="CI29" s="295">
        <f>Яро!C41</f>
        <v>2219.6710000000003</v>
      </c>
      <c r="CJ29" s="295">
        <f>Яро!D41</f>
        <v>0</v>
      </c>
      <c r="CK29" s="295">
        <f t="shared" si="7"/>
        <v>0</v>
      </c>
      <c r="CL29" s="295">
        <f>Яро!C42</f>
        <v>95.573999999999998</v>
      </c>
      <c r="CM29" s="295">
        <f>Яро!D42</f>
        <v>14.933400000000001</v>
      </c>
      <c r="CN29" s="295">
        <f t="shared" si="8"/>
        <v>15.624960763387532</v>
      </c>
      <c r="CO29" s="295">
        <f>Яро!C44</f>
        <v>0</v>
      </c>
      <c r="CP29" s="295">
        <f>Яро!D44</f>
        <v>0</v>
      </c>
      <c r="CQ29" s="295" t="e">
        <f t="shared" si="39"/>
        <v>#DIV/0!</v>
      </c>
      <c r="CR29" s="299">
        <f>Яро!C45</f>
        <v>0</v>
      </c>
      <c r="CS29" s="295">
        <f>Яро!D45</f>
        <v>0</v>
      </c>
      <c r="CT29" s="295" t="e">
        <f t="shared" si="9"/>
        <v>#DIV/0!</v>
      </c>
      <c r="CU29" s="295"/>
      <c r="CV29" s="295"/>
      <c r="CW29" s="295"/>
      <c r="CX29" s="300"/>
      <c r="CY29" s="300"/>
      <c r="CZ29" s="295" t="e">
        <f t="shared" si="40"/>
        <v>#DIV/0!</v>
      </c>
      <c r="DA29" s="295"/>
      <c r="DB29" s="295"/>
      <c r="DC29" s="295"/>
      <c r="DD29" s="295"/>
      <c r="DE29" s="295"/>
      <c r="DF29" s="295"/>
      <c r="DG29" s="304">
        <f t="shared" si="41"/>
        <v>6493.9849999999997</v>
      </c>
      <c r="DH29" s="304">
        <f t="shared" si="41"/>
        <v>312.66582</v>
      </c>
      <c r="DI29" s="295">
        <f t="shared" si="42"/>
        <v>4.8146988328430078</v>
      </c>
      <c r="DJ29" s="300">
        <f t="shared" si="43"/>
        <v>1365.1229999999998</v>
      </c>
      <c r="DK29" s="300">
        <f t="shared" si="43"/>
        <v>127.20318</v>
      </c>
      <c r="DL29" s="295">
        <f t="shared" si="44"/>
        <v>9.3180746350328878</v>
      </c>
      <c r="DM29" s="295">
        <f>Яро!C55</f>
        <v>1333.1</v>
      </c>
      <c r="DN29" s="295">
        <f>Яро!D55</f>
        <v>127.20318</v>
      </c>
      <c r="DO29" s="295">
        <f t="shared" si="45"/>
        <v>9.5419083339584425</v>
      </c>
      <c r="DP29" s="295">
        <f>Яро!C58</f>
        <v>24</v>
      </c>
      <c r="DQ29" s="295">
        <f>Яро!D58</f>
        <v>0</v>
      </c>
      <c r="DR29" s="295">
        <f t="shared" si="46"/>
        <v>0</v>
      </c>
      <c r="DS29" s="295">
        <f>Яро!C59</f>
        <v>5</v>
      </c>
      <c r="DT29" s="295">
        <f>Яро!D59</f>
        <v>0</v>
      </c>
      <c r="DU29" s="295">
        <f t="shared" si="47"/>
        <v>0</v>
      </c>
      <c r="DV29" s="295">
        <f>Яро!C60</f>
        <v>3.0230000000000001</v>
      </c>
      <c r="DW29" s="295">
        <f>Яро!D60</f>
        <v>0</v>
      </c>
      <c r="DX29" s="295">
        <f t="shared" si="48"/>
        <v>0</v>
      </c>
      <c r="DY29" s="295">
        <f>Яро!C61</f>
        <v>89.603999999999999</v>
      </c>
      <c r="DZ29" s="295">
        <f>Яро!D61</f>
        <v>10.29664</v>
      </c>
      <c r="EA29" s="295">
        <f t="shared" si="49"/>
        <v>11.491272711039686</v>
      </c>
      <c r="EB29" s="295">
        <f>Яро!C63</f>
        <v>12</v>
      </c>
      <c r="EC29" s="295">
        <f>Яро!D63</f>
        <v>1.5</v>
      </c>
      <c r="ED29" s="295">
        <f t="shared" si="50"/>
        <v>12.5</v>
      </c>
      <c r="EE29" s="300">
        <f>Яро!C69</f>
        <v>3627.027</v>
      </c>
      <c r="EF29" s="300">
        <f>Яро!D69</f>
        <v>0</v>
      </c>
      <c r="EG29" s="295">
        <f t="shared" si="51"/>
        <v>0</v>
      </c>
      <c r="EH29" s="300">
        <f>Яро!C74</f>
        <v>355.43099999999998</v>
      </c>
      <c r="EI29" s="300">
        <f>Яро!D74</f>
        <v>0</v>
      </c>
      <c r="EJ29" s="295">
        <f t="shared" si="52"/>
        <v>0</v>
      </c>
      <c r="EK29" s="300">
        <f>Яро!C79</f>
        <v>1042.8</v>
      </c>
      <c r="EL29" s="308">
        <f>Яро!D78</f>
        <v>173.666</v>
      </c>
      <c r="EM29" s="295">
        <f t="shared" si="10"/>
        <v>16.653816647487535</v>
      </c>
      <c r="EN29" s="295">
        <f>Яро!C80</f>
        <v>0</v>
      </c>
      <c r="EO29" s="295">
        <f>Яро!D80</f>
        <v>0</v>
      </c>
      <c r="EP29" s="295" t="e">
        <f t="shared" si="11"/>
        <v>#DIV/0!</v>
      </c>
      <c r="EQ29" s="296">
        <f>Яро!C85</f>
        <v>2</v>
      </c>
      <c r="ER29" s="296">
        <f>Яро!D85</f>
        <v>0</v>
      </c>
      <c r="ES29" s="295">
        <f t="shared" si="53"/>
        <v>0</v>
      </c>
      <c r="ET29" s="295">
        <f>Яро!C91</f>
        <v>0</v>
      </c>
      <c r="EU29" s="295">
        <f>Яро!D91</f>
        <v>0</v>
      </c>
      <c r="EV29" s="295" t="e">
        <f t="shared" si="54"/>
        <v>#DIV/0!</v>
      </c>
      <c r="EW29" s="309">
        <f t="shared" si="12"/>
        <v>9.0949470177292824E-13</v>
      </c>
      <c r="EX29" s="309">
        <f t="shared" si="13"/>
        <v>111.02825000000001</v>
      </c>
      <c r="EY29" s="295">
        <f t="shared" si="56"/>
        <v>1.2207685188662068E+16</v>
      </c>
      <c r="EZ29" s="164"/>
      <c r="FA29" s="165"/>
      <c r="FC29" s="165"/>
    </row>
    <row r="30" spans="1:170" s="162" customFormat="1" ht="17.25" customHeight="1">
      <c r="A30" s="345"/>
      <c r="B30" s="346"/>
      <c r="C30" s="327"/>
      <c r="D30" s="328"/>
      <c r="E30" s="295"/>
      <c r="F30" s="296"/>
      <c r="G30" s="300"/>
      <c r="H30" s="295"/>
      <c r="I30" s="300"/>
      <c r="J30" s="447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330"/>
      <c r="W30" s="295"/>
      <c r="X30" s="300"/>
      <c r="Y30" s="300"/>
      <c r="Z30" s="295"/>
      <c r="AA30" s="300"/>
      <c r="AB30" s="300"/>
      <c r="AC30" s="295"/>
      <c r="AD30" s="300"/>
      <c r="AE30" s="300"/>
      <c r="AF30" s="295"/>
      <c r="AG30" s="295"/>
      <c r="AH30" s="295"/>
      <c r="AI30" s="295"/>
      <c r="AJ30" s="295"/>
      <c r="AK30" s="295"/>
      <c r="AL30" s="295"/>
      <c r="AM30" s="300"/>
      <c r="AN30" s="300"/>
      <c r="AO30" s="295"/>
      <c r="AP30" s="300"/>
      <c r="AQ30" s="300"/>
      <c r="AR30" s="295"/>
      <c r="AS30" s="300"/>
      <c r="AT30" s="303"/>
      <c r="AU30" s="295"/>
      <c r="AV30" s="300"/>
      <c r="AW30" s="300"/>
      <c r="AX30" s="295"/>
      <c r="AY30" s="295"/>
      <c r="AZ30" s="305"/>
      <c r="BA30" s="295" t="e">
        <f t="shared" si="28"/>
        <v>#DIV/0!</v>
      </c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307"/>
      <c r="BW30" s="307"/>
      <c r="BX30" s="307"/>
      <c r="BY30" s="307"/>
      <c r="BZ30" s="300"/>
      <c r="CA30" s="300"/>
      <c r="CB30" s="295"/>
      <c r="CC30" s="295"/>
      <c r="CD30" s="295"/>
      <c r="CE30" s="295"/>
      <c r="CF30" s="295"/>
      <c r="CG30" s="452"/>
      <c r="CH30" s="452"/>
      <c r="CI30" s="295"/>
      <c r="CJ30" s="295"/>
      <c r="CK30" s="295"/>
      <c r="CL30" s="295"/>
      <c r="CM30" s="295"/>
      <c r="CN30" s="295"/>
      <c r="CO30" s="295"/>
      <c r="CP30" s="295"/>
      <c r="CQ30" s="295"/>
      <c r="CR30" s="330"/>
      <c r="CS30" s="295"/>
      <c r="CT30" s="295"/>
      <c r="CU30" s="295"/>
      <c r="CV30" s="295"/>
      <c r="CW30" s="295"/>
      <c r="CX30" s="300"/>
      <c r="CY30" s="300"/>
      <c r="CZ30" s="295"/>
      <c r="DA30" s="295"/>
      <c r="DB30" s="295"/>
      <c r="DC30" s="295"/>
      <c r="DD30" s="295"/>
      <c r="DE30" s="295"/>
      <c r="DF30" s="295"/>
      <c r="DG30" s="300"/>
      <c r="DH30" s="300"/>
      <c r="DI30" s="295"/>
      <c r="DJ30" s="300"/>
      <c r="DK30" s="329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306"/>
      <c r="EA30" s="295"/>
      <c r="EB30" s="295"/>
      <c r="EC30" s="295"/>
      <c r="ED30" s="295"/>
      <c r="EE30" s="300"/>
      <c r="EF30" s="300"/>
      <c r="EG30" s="295"/>
      <c r="EH30" s="300"/>
      <c r="EI30" s="300"/>
      <c r="EJ30" s="295"/>
      <c r="EK30" s="300"/>
      <c r="EL30" s="300"/>
      <c r="EM30" s="295"/>
      <c r="EN30" s="295"/>
      <c r="EO30" s="295"/>
      <c r="EP30" s="295"/>
      <c r="EQ30" s="296"/>
      <c r="ER30" s="296"/>
      <c r="ES30" s="295"/>
      <c r="ET30" s="295"/>
      <c r="EU30" s="295"/>
      <c r="EV30" s="295"/>
      <c r="EW30" s="309"/>
      <c r="EX30" s="309"/>
      <c r="EY30" s="295" t="e">
        <f t="shared" si="56"/>
        <v>#DIV/0!</v>
      </c>
      <c r="FA30" s="165"/>
      <c r="FC30" s="165"/>
    </row>
    <row r="31" spans="1:170" s="168" customFormat="1" ht="18.75">
      <c r="A31" s="500" t="s">
        <v>176</v>
      </c>
      <c r="B31" s="501"/>
      <c r="C31" s="331">
        <f>SUM(C14:C29)</f>
        <v>123712.10301000001</v>
      </c>
      <c r="D31" s="331">
        <f>SUM(D14:D29)</f>
        <v>12147.649009999999</v>
      </c>
      <c r="E31" s="332">
        <f>D31/C31*100</f>
        <v>9.8192890707048033</v>
      </c>
      <c r="F31" s="333">
        <f>SUM(F14:F29)</f>
        <v>40910.999999999993</v>
      </c>
      <c r="G31" s="334">
        <f>SUM(G14:G29)</f>
        <v>4897.3225299999995</v>
      </c>
      <c r="H31" s="332">
        <f>G31/F31*100</f>
        <v>11.970674219647529</v>
      </c>
      <c r="I31" s="334">
        <f>SUM(I14:I29)</f>
        <v>5728.5</v>
      </c>
      <c r="J31" s="448">
        <f>SUM(J14:J29)</f>
        <v>768.41829000000007</v>
      </c>
      <c r="K31" s="332">
        <f>J31/I31*100</f>
        <v>13.413952867242735</v>
      </c>
      <c r="L31" s="332">
        <f>SUM(L14:L29)</f>
        <v>3471.43</v>
      </c>
      <c r="M31" s="332">
        <f>SUM(M14:M29)</f>
        <v>652.07451999999989</v>
      </c>
      <c r="N31" s="332">
        <f>M31/L31*100</f>
        <v>18.784031940727594</v>
      </c>
      <c r="O31" s="332">
        <f>SUM(O14:O29)</f>
        <v>37.200000000000003</v>
      </c>
      <c r="P31" s="332">
        <f>SUM(P14:P29)</f>
        <v>4.0864799999999999</v>
      </c>
      <c r="Q31" s="332">
        <f>P31/O31*100</f>
        <v>10.98516129032258</v>
      </c>
      <c r="R31" s="332">
        <f>SUM(R14:R29)</f>
        <v>5798.0699999999988</v>
      </c>
      <c r="S31" s="332">
        <f>SUM(S14:S29)</f>
        <v>933.40285999999992</v>
      </c>
      <c r="T31" s="332">
        <f>S31/R31*100</f>
        <v>16.098509676495802</v>
      </c>
      <c r="U31" s="332">
        <f>SUM(U14:U29)</f>
        <v>0</v>
      </c>
      <c r="V31" s="332">
        <f>SUM(V14:V29)</f>
        <v>-127.30302999999998</v>
      </c>
      <c r="W31" s="332" t="e">
        <f>V31/U31*100</f>
        <v>#DIV/0!</v>
      </c>
      <c r="X31" s="334">
        <f>SUM(X14:X29)</f>
        <v>535</v>
      </c>
      <c r="Y31" s="334">
        <f>SUM(Y14:Y29)</f>
        <v>41.072700000000005</v>
      </c>
      <c r="Z31" s="332">
        <f>Y31/X31*100</f>
        <v>7.6771401869158886</v>
      </c>
      <c r="AA31" s="334">
        <f>SUM(AA14:AA29)</f>
        <v>5373</v>
      </c>
      <c r="AB31" s="334">
        <f>SUM(AB14:AB29)</f>
        <v>537.51107000000002</v>
      </c>
      <c r="AC31" s="332">
        <f>AB31/AA31*100</f>
        <v>10.003928345430859</v>
      </c>
      <c r="AD31" s="334">
        <f>SUM(AD14:AD29)</f>
        <v>16870</v>
      </c>
      <c r="AE31" s="334">
        <f>SUM(AE14:AE29)</f>
        <v>1442.13679</v>
      </c>
      <c r="AF31" s="332">
        <f>AE31/AD31*100</f>
        <v>8.5485286899822164</v>
      </c>
      <c r="AG31" s="335">
        <f>SUM(AG14:AG29)</f>
        <v>116</v>
      </c>
      <c r="AH31" s="332">
        <f>SUM(AH14:AH29)</f>
        <v>13.1</v>
      </c>
      <c r="AI31" s="295">
        <f t="shared" si="24"/>
        <v>11.293103448275863</v>
      </c>
      <c r="AJ31" s="334">
        <f>AJ14+AJ15+AJ16+AJ17+AJ18+AJ19+AJ20+AJ21+AJ22+AJ23+AJ24+AJ25+AJ26+AJ27+AJ28+AJ29</f>
        <v>0</v>
      </c>
      <c r="AK31" s="334">
        <f>AK14+AK15+AK16+AK17+AK18+AK19+AK20+AK21+AK22+AK23+AK24+AK25+AK26+AK27+AK28+AK29</f>
        <v>0</v>
      </c>
      <c r="AL31" s="295" t="e">
        <f>AK31/AJ31*100</f>
        <v>#DIV/0!</v>
      </c>
      <c r="AM31" s="334">
        <f>SUM(AM14:AM29)</f>
        <v>0</v>
      </c>
      <c r="AN31" s="334">
        <f>SUM(AN14:AN29)</f>
        <v>0</v>
      </c>
      <c r="AO31" s="332" t="e">
        <f>AN31/AM31*100</f>
        <v>#DIV/0!</v>
      </c>
      <c r="AP31" s="334">
        <f>SUM(AP14:AP29)</f>
        <v>2591</v>
      </c>
      <c r="AQ31" s="334">
        <f>SUM(AQ14:AQ29)</f>
        <v>469.37952000000001</v>
      </c>
      <c r="AR31" s="332">
        <f>AQ31/AP31*100</f>
        <v>18.115766885372445</v>
      </c>
      <c r="AS31" s="334">
        <f>SUM(AS14:AS29)</f>
        <v>390.79999999999995</v>
      </c>
      <c r="AT31" s="334">
        <f>SUM(AT14:AT29)</f>
        <v>59.313679999999998</v>
      </c>
      <c r="AU31" s="332">
        <f>AT31/AS31*100</f>
        <v>15.177502558853634</v>
      </c>
      <c r="AV31" s="334">
        <f>SUM(AV14:AV29)</f>
        <v>0</v>
      </c>
      <c r="AW31" s="334">
        <f>SUM(AW14:AW29)</f>
        <v>0</v>
      </c>
      <c r="AX31" s="332" t="e">
        <f>AW31/AV31*100</f>
        <v>#DIV/0!</v>
      </c>
      <c r="AY31" s="332">
        <f>SUM(AY14:AY29)</f>
        <v>0</v>
      </c>
      <c r="AZ31" s="332">
        <f>SUM(AZ14:AZ29)</f>
        <v>101.68965</v>
      </c>
      <c r="BA31" s="295" t="e">
        <f t="shared" si="28"/>
        <v>#DIV/0!</v>
      </c>
      <c r="BB31" s="295">
        <f>SUM(BB14:BB29)</f>
        <v>0</v>
      </c>
      <c r="BC31" s="295">
        <f>SUM(BC14:BC29)</f>
        <v>0</v>
      </c>
      <c r="BD31" s="295" t="e">
        <f>BC31/BB31*100</f>
        <v>#DIV/0!</v>
      </c>
      <c r="BE31" s="333">
        <f>SUM(BE14:BE29)</f>
        <v>0</v>
      </c>
      <c r="BF31" s="334">
        <f>SUM(BF14:BF29)</f>
        <v>4.42</v>
      </c>
      <c r="BG31" s="334" t="e">
        <f t="shared" si="29"/>
        <v>#DIV/0!</v>
      </c>
      <c r="BH31" s="334">
        <f>SUM(BH14:BH29)</f>
        <v>0</v>
      </c>
      <c r="BI31" s="334">
        <f>SUM(BI14:BI29)</f>
        <v>0</v>
      </c>
      <c r="BJ31" s="332" t="e">
        <f>BI31/BH31*100</f>
        <v>#DIV/0!</v>
      </c>
      <c r="BK31" s="332">
        <f>SUM(BK14:BK29)</f>
        <v>0</v>
      </c>
      <c r="BL31" s="332">
        <f>BL15+BL27+BL28+BL19+BL22+BL26+BL18</f>
        <v>2.3295599999999999</v>
      </c>
      <c r="BM31" s="332" t="e">
        <f>BL31/BK31*100</f>
        <v>#DIV/0!</v>
      </c>
      <c r="BN31" s="332">
        <f>BN14+BN15+BN16+BN17+BN18+BN19+BN20+BN21+BN22+BN23+BN24+BN25+BN26+BN27+BN28+BN29</f>
        <v>0</v>
      </c>
      <c r="BO31" s="332">
        <f>BO14+BO15+BO16+BO17+BO18+BO19+BO20+BO21+BO22+BO23+BO24+BO25+BO26+BO27+BO28+BO29</f>
        <v>2.3295599999999999</v>
      </c>
      <c r="BP31" s="332" t="e">
        <f>BO31/BN31*100</f>
        <v>#DIV/0!</v>
      </c>
      <c r="BQ31" s="334">
        <f>SUM(BQ14:BQ29)</f>
        <v>0</v>
      </c>
      <c r="BR31" s="334">
        <f>SUM(BR14:BR29)</f>
        <v>-4.3095600000000003</v>
      </c>
      <c r="BS31" s="332" t="e">
        <f>BR31/BQ31*100</f>
        <v>#DIV/0!</v>
      </c>
      <c r="BT31" s="332">
        <f t="shared" ref="BT31:BY31" si="57">SUM(BT14:BT29)</f>
        <v>0</v>
      </c>
      <c r="BU31" s="332"/>
      <c r="BV31" s="332" t="e">
        <f t="shared" si="57"/>
        <v>#DIV/0!</v>
      </c>
      <c r="BW31" s="332">
        <f t="shared" si="57"/>
        <v>0</v>
      </c>
      <c r="BX31" s="332">
        <f t="shared" si="57"/>
        <v>0</v>
      </c>
      <c r="BY31" s="336" t="e">
        <f t="shared" si="57"/>
        <v>#DIV/0!</v>
      </c>
      <c r="BZ31" s="333">
        <f>SUM(BZ14:BZ29)</f>
        <v>82801.103009999992</v>
      </c>
      <c r="CA31" s="334">
        <f>SUM(CA14:CA29)</f>
        <v>7250.3264799999997</v>
      </c>
      <c r="CB31" s="334">
        <f t="shared" si="55"/>
        <v>8.7563163006709814</v>
      </c>
      <c r="CC31" s="334">
        <f>SUM(CC14:CC29)</f>
        <v>29508.000000000004</v>
      </c>
      <c r="CD31" s="334">
        <f>SUM(CD14:CD29)</f>
        <v>4917.9169999999986</v>
      </c>
      <c r="CE31" s="334">
        <f>CD31/CC31*100</f>
        <v>16.666385387013687</v>
      </c>
      <c r="CF31" s="333">
        <f>SUM(CF14:CF29)</f>
        <v>4700</v>
      </c>
      <c r="CG31" s="455">
        <f>SUM(CG14:CG29)</f>
        <v>0</v>
      </c>
      <c r="CH31" s="334">
        <f>CG31/CF31*100</f>
        <v>0</v>
      </c>
      <c r="CI31" s="334">
        <f>SUM(CI14:CI29)</f>
        <v>45911.419399999999</v>
      </c>
      <c r="CJ31" s="334">
        <f>SUM(CJ14:CJ29)</f>
        <v>1000.068</v>
      </c>
      <c r="CK31" s="334">
        <f>CJ31/CI31*100</f>
        <v>2.1782554603397863</v>
      </c>
      <c r="CL31" s="334">
        <f>SUM(CL14:CL29)</f>
        <v>2219.5000000000005</v>
      </c>
      <c r="CM31" s="334">
        <f>SUM(CM14:CM29)</f>
        <v>358.40000000000003</v>
      </c>
      <c r="CN31" s="334">
        <f t="shared" si="8"/>
        <v>16.147781031763909</v>
      </c>
      <c r="CO31" s="334">
        <f>SUM(CO14:CO29)</f>
        <v>0</v>
      </c>
      <c r="CP31" s="334">
        <f>SUM(CP14:CP29)</f>
        <v>0</v>
      </c>
      <c r="CQ31" s="334" t="e">
        <f>CP31/CO31*100</f>
        <v>#DIV/0!</v>
      </c>
      <c r="CR31" s="334">
        <f>SUM(CR14:CR29)</f>
        <v>462.18360999999999</v>
      </c>
      <c r="CS31" s="334">
        <f>SUM(CS14:CS29)</f>
        <v>973.94147999999996</v>
      </c>
      <c r="CT31" s="334">
        <f t="shared" si="9"/>
        <v>210.72609649658494</v>
      </c>
      <c r="CU31" s="334">
        <f>SUM(CU14:CU29)</f>
        <v>0</v>
      </c>
      <c r="CV31" s="334">
        <f>SUM(CV14:CV29)</f>
        <v>0</v>
      </c>
      <c r="CW31" s="334" t="e">
        <f>CV31/CU31*100</f>
        <v>#DIV/0!</v>
      </c>
      <c r="CX31" s="334">
        <f>SUM(CX14:CX29)</f>
        <v>0</v>
      </c>
      <c r="CY31" s="334">
        <f>SUM(CY14:CY29)</f>
        <v>0</v>
      </c>
      <c r="CZ31" s="332" t="e">
        <f>CY31/CX31*100</f>
        <v>#DIV/0!</v>
      </c>
      <c r="DA31" s="332">
        <f>DA14+DA15+DA16+DA17+DA18+DA19+DA20+DA21+DA22+DA23+DA24+DA25+DA26+DA27+DA28+DA29</f>
        <v>0</v>
      </c>
      <c r="DB31" s="332">
        <f>DB14+DB15+DB16+DB17+DB18+DB19+DB20+DB21+DB22+DB23+DB24+DB25+DB26+DB27+DB28+DB29</f>
        <v>0</v>
      </c>
      <c r="DC31" s="332" t="e">
        <f>DB31/DA31*100</f>
        <v>#DIV/0!</v>
      </c>
      <c r="DD31" s="332">
        <f>DD14+DD15+DD16+DD17+DD18+DD19+DD20+DD21+DD22+DD23+DD24+DD25+DD26+DD27+DD28+DD29</f>
        <v>0</v>
      </c>
      <c r="DE31" s="332">
        <f>DE14+DE15+DE16+DE17+DE18+DE19+DE20+DE21+DE22+DE23+DE24+DE25+DE26+DE27+DE28+DE29</f>
        <v>0</v>
      </c>
      <c r="DF31" s="332">
        <v>0</v>
      </c>
      <c r="DG31" s="333">
        <f>SUM(DG14:DG29)</f>
        <v>124529.36155000002</v>
      </c>
      <c r="DH31" s="333">
        <f>SUM(DH14:DH29)</f>
        <v>9795.9443300000003</v>
      </c>
      <c r="DI31" s="332">
        <f>DH31/DG31*100</f>
        <v>7.8663732055406168</v>
      </c>
      <c r="DJ31" s="333">
        <f>SUM(DJ14:DJ29)</f>
        <v>23878.172999999999</v>
      </c>
      <c r="DK31" s="333">
        <f>SUM(DK14:DK29)</f>
        <v>2545.92875</v>
      </c>
      <c r="DL31" s="332">
        <f>DK31/DJ31*100</f>
        <v>10.662158909728982</v>
      </c>
      <c r="DM31" s="334">
        <f>SUM(DM14:DM29)</f>
        <v>23100.461999999996</v>
      </c>
      <c r="DN31" s="333">
        <f>SUM(DN14:DN29)</f>
        <v>2538.92875</v>
      </c>
      <c r="DO31" s="332">
        <f>DN31/DM31*100</f>
        <v>10.990813733508881</v>
      </c>
      <c r="DP31" s="334">
        <f>SUM(DP14:DP29)</f>
        <v>559.51700000000005</v>
      </c>
      <c r="DQ31" s="334">
        <f>SUM(DQ14:DQ29)</f>
        <v>0</v>
      </c>
      <c r="DR31" s="332">
        <f>DQ31/DP31*100</f>
        <v>0</v>
      </c>
      <c r="DS31" s="337">
        <f>SUM(DS14:DS29)</f>
        <v>130</v>
      </c>
      <c r="DT31" s="332">
        <f>SUM(DT14:DT29)</f>
        <v>0</v>
      </c>
      <c r="DU31" s="332">
        <f>DT31/DS31*100</f>
        <v>0</v>
      </c>
      <c r="DV31" s="332">
        <f>SUM(DV14:DV29)</f>
        <v>88.194000000000003</v>
      </c>
      <c r="DW31" s="332">
        <f>SUM(DW14:DW29)</f>
        <v>7</v>
      </c>
      <c r="DX31" s="295">
        <f>DW31/DV31*100</f>
        <v>7.9370478717373061</v>
      </c>
      <c r="DY31" s="332">
        <f>SUM(DY14:DY29)</f>
        <v>2150.5</v>
      </c>
      <c r="DZ31" s="337">
        <f>SUM(DZ14:DZ29)</f>
        <v>243.91226999999995</v>
      </c>
      <c r="EA31" s="334">
        <f t="shared" si="49"/>
        <v>11.342119042083235</v>
      </c>
      <c r="EB31" s="337">
        <f>SUM(EB14:EB29)</f>
        <v>244</v>
      </c>
      <c r="EC31" s="337">
        <f>SUM(EC14:EC29)</f>
        <v>7</v>
      </c>
      <c r="ED31" s="295">
        <f t="shared" si="50"/>
        <v>2.8688524590163933</v>
      </c>
      <c r="EE31" s="334">
        <f>SUM(EE14:EE29)</f>
        <v>50843.365150000005</v>
      </c>
      <c r="EF31" s="333">
        <f>SUM(EF14:EF29)</f>
        <v>2036.83808</v>
      </c>
      <c r="EG31" s="332">
        <f>EF31/EE31*100</f>
        <v>4.0061039901486533</v>
      </c>
      <c r="EH31" s="334">
        <f>SUM(EH14:EH29)</f>
        <v>20576.146400000001</v>
      </c>
      <c r="EI31" s="333">
        <f>SUM(EI14:EI29)</f>
        <v>825.84246000000007</v>
      </c>
      <c r="EJ31" s="332">
        <f>EI31/EH31*100</f>
        <v>4.0135914857215438</v>
      </c>
      <c r="EK31" s="333">
        <f>SUM(EK14:EK29)</f>
        <v>26674.152999999998</v>
      </c>
      <c r="EL31" s="333">
        <f>SUM(EL14:EL29)</f>
        <v>4117.3177700000006</v>
      </c>
      <c r="EM31" s="332">
        <f>EL31/EK31*100</f>
        <v>15.435608283419535</v>
      </c>
      <c r="EN31" s="333">
        <f>SUM(EN14:EN29)</f>
        <v>0</v>
      </c>
      <c r="EO31" s="333">
        <f>SUM(EO14:EO29)</f>
        <v>0</v>
      </c>
      <c r="EP31" s="332" t="e">
        <f>EO31/EN31*100</f>
        <v>#DIV/0!</v>
      </c>
      <c r="EQ31" s="334">
        <f>SUM(EQ14:EQ29)</f>
        <v>163.024</v>
      </c>
      <c r="ER31" s="334">
        <f>SUM(ER14:ER29)</f>
        <v>19.105</v>
      </c>
      <c r="ES31" s="332">
        <f>ER31/EQ31*100</f>
        <v>11.719133379134361</v>
      </c>
      <c r="ET31" s="332">
        <f>SUM(ET14:ET29)</f>
        <v>0</v>
      </c>
      <c r="EU31" s="335">
        <f>SUM(EU14:EU29)</f>
        <v>0</v>
      </c>
      <c r="EV31" s="295" t="e">
        <f>EU31/ET31*100</f>
        <v>#DIV/0!</v>
      </c>
      <c r="EW31" s="337">
        <f>SUM(EW14:EW29)</f>
        <v>-817.25854000000572</v>
      </c>
      <c r="EX31" s="332">
        <f>SUM(EX14:EX29)</f>
        <v>2351.7046799999994</v>
      </c>
      <c r="EY31" s="295">
        <f>EX31/EW31*100</f>
        <v>-287.75528977647429</v>
      </c>
    </row>
    <row r="32" spans="1:170" s="170" customFormat="1" ht="27.75" customHeight="1">
      <c r="C32" s="169">
        <v>123712.10301000001</v>
      </c>
      <c r="D32" s="169">
        <v>12147.649009999999</v>
      </c>
      <c r="E32" s="169"/>
      <c r="F32" s="169">
        <v>40911</v>
      </c>
      <c r="G32" s="169">
        <v>4897.3225300000004</v>
      </c>
      <c r="H32" s="169"/>
      <c r="I32" s="169">
        <v>5728.5</v>
      </c>
      <c r="J32" s="169">
        <v>768.41828999999996</v>
      </c>
      <c r="K32" s="169"/>
      <c r="L32" s="169">
        <v>3471.43</v>
      </c>
      <c r="M32" s="169">
        <v>652.07452000000001</v>
      </c>
      <c r="N32" s="169"/>
      <c r="O32" s="169">
        <v>37.200000000000003</v>
      </c>
      <c r="P32" s="169">
        <v>4.0864799999999999</v>
      </c>
      <c r="Q32" s="169"/>
      <c r="R32" s="169">
        <v>5798.07</v>
      </c>
      <c r="S32" s="169">
        <v>933.40286000000003</v>
      </c>
      <c r="T32" s="169"/>
      <c r="U32" s="169" t="e">
        <f>#REF!-U31</f>
        <v>#REF!</v>
      </c>
      <c r="V32" s="169">
        <v>-127.30303000000001</v>
      </c>
      <c r="W32" s="169"/>
      <c r="X32" s="169">
        <v>535</v>
      </c>
      <c r="Y32" s="169">
        <v>41.072699999999998</v>
      </c>
      <c r="Z32" s="169"/>
      <c r="AA32" s="169">
        <v>5373</v>
      </c>
      <c r="AB32" s="169">
        <v>537.51107000000002</v>
      </c>
      <c r="AC32" s="169"/>
      <c r="AD32" s="169">
        <v>16870</v>
      </c>
      <c r="AE32" s="169">
        <v>1442.13679</v>
      </c>
      <c r="AF32" s="169"/>
      <c r="AG32" s="169">
        <v>116</v>
      </c>
      <c r="AH32" s="169">
        <v>13.1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2591</v>
      </c>
      <c r="AQ32" s="169">
        <v>469.37952000000001</v>
      </c>
      <c r="AR32" s="169"/>
      <c r="AS32" s="169">
        <v>390.8</v>
      </c>
      <c r="AT32" s="169">
        <v>59.313679999999998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0</v>
      </c>
      <c r="AZ32" s="169">
        <v>101.68965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0</v>
      </c>
      <c r="BF32" s="169">
        <v>4.42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2.3295599999999999</v>
      </c>
      <c r="BP32" s="169"/>
      <c r="BQ32" s="169" t="e">
        <f>#REF!-BQ31</f>
        <v>#REF!</v>
      </c>
      <c r="BR32" s="169">
        <v>-4.3095600000000003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82801.103010000006</v>
      </c>
      <c r="CA32" s="169">
        <v>7250.3264799999997</v>
      </c>
      <c r="CB32" s="169"/>
      <c r="CC32" s="169">
        <v>29508</v>
      </c>
      <c r="CD32" s="169">
        <v>4917.9170000000004</v>
      </c>
      <c r="CE32" s="169"/>
      <c r="CF32" s="169">
        <v>4700</v>
      </c>
      <c r="CG32" s="169">
        <v>0</v>
      </c>
      <c r="CH32" s="169"/>
      <c r="CI32" s="169">
        <v>45911.419399999999</v>
      </c>
      <c r="CJ32" s="169">
        <v>1000.068</v>
      </c>
      <c r="CK32" s="169"/>
      <c r="CL32" s="169">
        <v>2219.5</v>
      </c>
      <c r="CM32" s="169">
        <v>358.4</v>
      </c>
      <c r="CN32" s="169"/>
      <c r="CO32" s="169">
        <v>0</v>
      </c>
      <c r="CP32" s="169">
        <v>0</v>
      </c>
      <c r="CQ32" s="169"/>
      <c r="CR32" s="169">
        <v>462.18360999999999</v>
      </c>
      <c r="CS32" s="169">
        <v>973.94147999999996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124529.36155</v>
      </c>
      <c r="DH32" s="169">
        <v>9795.9443300000003</v>
      </c>
      <c r="DI32" s="169"/>
      <c r="DJ32" s="169">
        <v>23878.172999999999</v>
      </c>
      <c r="DK32" s="169">
        <v>2545.92875</v>
      </c>
      <c r="DL32" s="169"/>
      <c r="DM32" s="169">
        <v>23100.462</v>
      </c>
      <c r="DN32" s="169">
        <v>2538.92875</v>
      </c>
      <c r="DO32" s="169"/>
      <c r="DP32" s="169">
        <v>559.51700000000005</v>
      </c>
      <c r="DQ32" s="169">
        <v>0</v>
      </c>
      <c r="DR32" s="169"/>
      <c r="DS32" s="169">
        <v>130</v>
      </c>
      <c r="DT32" s="169" t="e">
        <f>#REF!-DT31</f>
        <v>#REF!</v>
      </c>
      <c r="DU32" s="169"/>
      <c r="DV32" s="169">
        <v>88.194000000000003</v>
      </c>
      <c r="DW32" s="169">
        <v>7</v>
      </c>
      <c r="DX32" s="169"/>
      <c r="DY32" s="169">
        <v>2150.5</v>
      </c>
      <c r="DZ32" s="169">
        <v>243.91227000000001</v>
      </c>
      <c r="EA32" s="169"/>
      <c r="EB32" s="169">
        <v>244</v>
      </c>
      <c r="EC32" s="169">
        <v>7</v>
      </c>
      <c r="ED32" s="169"/>
      <c r="EE32" s="169">
        <v>50843.365149999998</v>
      </c>
      <c r="EF32" s="169">
        <v>2036.83808</v>
      </c>
      <c r="EG32" s="169"/>
      <c r="EH32" s="169">
        <v>20576.146400000001</v>
      </c>
      <c r="EI32" s="169">
        <v>825.84245999999996</v>
      </c>
      <c r="EJ32" s="169"/>
      <c r="EK32" s="169">
        <v>26674.152999999998</v>
      </c>
      <c r="EL32" s="169">
        <v>4117.3177699999997</v>
      </c>
      <c r="EM32" s="169"/>
      <c r="EN32" s="169">
        <v>0</v>
      </c>
      <c r="EO32" s="169">
        <v>0</v>
      </c>
      <c r="EP32" s="169"/>
      <c r="EQ32" s="169">
        <v>163.024</v>
      </c>
      <c r="ER32" s="169">
        <v>19.105</v>
      </c>
      <c r="ES32" s="169"/>
      <c r="ET32" s="169">
        <v>0</v>
      </c>
      <c r="EU32" s="169">
        <v>0</v>
      </c>
      <c r="EV32" s="169"/>
      <c r="EW32" s="169">
        <v>-817.25854000000004</v>
      </c>
      <c r="EX32" s="169">
        <v>2351.7046799999998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8">AJ32-AJ31</f>
        <v>#REF!</v>
      </c>
      <c r="AK33" s="169" t="e">
        <f t="shared" si="58"/>
        <v>#REF!</v>
      </c>
      <c r="AL33" s="169" t="e">
        <f t="shared" si="58"/>
        <v>#DIV/0!</v>
      </c>
      <c r="AM33" s="169" t="e">
        <f t="shared" si="58"/>
        <v>#REF!</v>
      </c>
      <c r="AN33" s="169" t="e">
        <f t="shared" si="58"/>
        <v>#REF!</v>
      </c>
      <c r="AO33" s="169" t="e">
        <f t="shared" si="58"/>
        <v>#DIV/0!</v>
      </c>
      <c r="AP33" s="169">
        <f t="shared" si="58"/>
        <v>0</v>
      </c>
      <c r="AQ33" s="169">
        <f t="shared" si="58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9">BH32-BH31</f>
        <v>#REF!</v>
      </c>
      <c r="BI33" s="169" t="e">
        <f t="shared" si="59"/>
        <v>#REF!</v>
      </c>
      <c r="BJ33" s="169" t="e">
        <f t="shared" si="59"/>
        <v>#REF!</v>
      </c>
      <c r="BK33" s="169" t="e">
        <f t="shared" si="59"/>
        <v>#REF!</v>
      </c>
      <c r="BL33" s="169" t="e">
        <f t="shared" si="59"/>
        <v>#REF!</v>
      </c>
      <c r="BM33" s="169" t="e">
        <f t="shared" si="59"/>
        <v>#REF!</v>
      </c>
      <c r="BN33" s="169">
        <f t="shared" si="59"/>
        <v>0</v>
      </c>
      <c r="BO33" s="169">
        <f t="shared" si="59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60">BT32-BT31</f>
        <v>#REF!</v>
      </c>
      <c r="BU33" s="169" t="e">
        <f t="shared" si="60"/>
        <v>#REF!</v>
      </c>
      <c r="BV33" s="169" t="e">
        <f t="shared" si="60"/>
        <v>#REF!</v>
      </c>
      <c r="BW33" s="169" t="e">
        <f t="shared" si="60"/>
        <v>#REF!</v>
      </c>
      <c r="BX33" s="169" t="e">
        <f t="shared" si="60"/>
        <v>#REF!</v>
      </c>
      <c r="BY33" s="169" t="e">
        <f t="shared" si="60"/>
        <v>#REF!</v>
      </c>
      <c r="BZ33" s="169">
        <f t="shared" si="60"/>
        <v>0</v>
      </c>
      <c r="CA33" s="169">
        <f t="shared" si="60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0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61">CX32-CX31</f>
        <v>#REF!</v>
      </c>
      <c r="CY33" s="169" t="e">
        <f t="shared" si="61"/>
        <v>#REF!</v>
      </c>
      <c r="CZ33" s="169" t="e">
        <f t="shared" si="61"/>
        <v>#REF!</v>
      </c>
      <c r="DA33" s="169" t="e">
        <f t="shared" si="61"/>
        <v>#REF!</v>
      </c>
      <c r="DB33" s="169" t="e">
        <f t="shared" si="61"/>
        <v>#REF!</v>
      </c>
      <c r="DC33" s="169" t="e">
        <f t="shared" si="61"/>
        <v>#REF!</v>
      </c>
      <c r="DD33" s="169" t="e">
        <f t="shared" si="61"/>
        <v>#REF!</v>
      </c>
      <c r="DE33" s="169" t="e">
        <f t="shared" si="61"/>
        <v>#REF!</v>
      </c>
      <c r="DF33" s="169">
        <f t="shared" si="61"/>
        <v>0</v>
      </c>
      <c r="DG33" s="169">
        <f t="shared" si="61"/>
        <v>0</v>
      </c>
      <c r="DH33" s="169">
        <f t="shared" si="61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>
        <f>ET32-ET31</f>
        <v>0</v>
      </c>
      <c r="EU33" s="169">
        <f>EU32-EU31</f>
        <v>0</v>
      </c>
      <c r="EV33" s="169"/>
      <c r="EW33" s="169">
        <f>EW32-EW31</f>
        <v>5.6843418860808015E-12</v>
      </c>
      <c r="EX33" s="169">
        <f>EX32-EX31</f>
        <v>0</v>
      </c>
      <c r="EY33" s="171"/>
    </row>
  </sheetData>
  <customSheetViews>
    <customSheetView guid="{B30CE22D-C12F-4E12-8BB9-3AAE0A6991CC}" scale="75" showPageBreaks="1" fitToPage="1" printArea="1" hiddenColumns="1" view="pageBreakPreview" topLeftCell="A10">
      <selection activeCell="G14" sqref="G14:G31"/>
      <colBreaks count="6" manualBreakCount="6">
        <brk id="17" max="30" man="1"/>
        <brk id="35" max="13" man="1"/>
        <brk id="59" max="13" man="1"/>
        <brk id="92" max="13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3" fitToWidth="7" orientation="landscape" r:id="rId1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8"/>
    </customSheetView>
    <customSheetView guid="{61528DAC-5C4C-48F4-ADE2-8A724B05A086}" scale="70" showPageBreaks="1" fitToPage="1" printArea="1" hiddenColumns="1" view="pageBreakPreview" topLeftCell="ED1">
      <selection activeCell="EY20" sqref="EY20"/>
      <colBreaks count="6" manualBreakCount="6">
        <brk id="17" max="29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28000000000000003" bottom="0.32" header="0.31496062992125984" footer="0.31496062992125984"/>
      <pageSetup paperSize="9" scale="68" fitToWidth="11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4" type="noConversion"/>
  <pageMargins left="0.70866141732283472" right="0.19685039370078741" top="0.74803149606299213" bottom="0.74803149606299213" header="0.31496062992125984" footer="0.31496062992125984"/>
  <pageSetup paperSize="9" scale="53" fitToWidth="7" orientation="landscape" r:id="rId10"/>
  <colBreaks count="6" manualBreakCount="6">
    <brk id="17" max="30" man="1"/>
    <brk id="35" max="13" man="1"/>
    <brk id="59" max="13" man="1"/>
    <brk id="92" max="13" man="1"/>
    <brk id="116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343</v>
      </c>
      <c r="AO1" t="s">
        <v>344</v>
      </c>
      <c r="AP1" t="s">
        <v>345</v>
      </c>
      <c r="AS1" t="s">
        <v>346</v>
      </c>
      <c r="AW1">
        <v>187.4</v>
      </c>
      <c r="AX1" t="s">
        <v>347</v>
      </c>
      <c r="AY1" t="s">
        <v>348</v>
      </c>
    </row>
    <row r="2" spans="32:51">
      <c r="AF2" t="s">
        <v>349</v>
      </c>
      <c r="AJ2" t="s">
        <v>350</v>
      </c>
    </row>
    <row r="3" spans="32:51">
      <c r="AF3" t="s">
        <v>352</v>
      </c>
      <c r="AH3" t="s">
        <v>351</v>
      </c>
      <c r="AJ3" t="s">
        <v>352</v>
      </c>
      <c r="AN3" t="s">
        <v>351</v>
      </c>
      <c r="AO3" t="s">
        <v>351</v>
      </c>
      <c r="AP3" t="s">
        <v>351</v>
      </c>
      <c r="AS3" t="s">
        <v>353</v>
      </c>
      <c r="AT3" t="s">
        <v>354</v>
      </c>
      <c r="AU3" t="s">
        <v>355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356</v>
      </c>
      <c r="AU4" t="s">
        <v>357</v>
      </c>
      <c r="AV4" t="s">
        <v>358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359</v>
      </c>
      <c r="AU5" t="s">
        <v>357</v>
      </c>
      <c r="AV5" t="s">
        <v>360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361</v>
      </c>
      <c r="AU6" t="s">
        <v>357</v>
      </c>
      <c r="AV6" t="s">
        <v>360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362</v>
      </c>
      <c r="AU7" t="s">
        <v>357</v>
      </c>
      <c r="AV7" t="s">
        <v>363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364</v>
      </c>
      <c r="AU8" t="s">
        <v>357</v>
      </c>
      <c r="AV8" t="s">
        <v>365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366</v>
      </c>
      <c r="AU9" t="s">
        <v>357</v>
      </c>
      <c r="AV9" t="s">
        <v>367</v>
      </c>
      <c r="AW9" t="s">
        <v>368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369</v>
      </c>
      <c r="AU10" t="s">
        <v>357</v>
      </c>
      <c r="AV10" t="s">
        <v>370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371</v>
      </c>
      <c r="AU11" t="s">
        <v>357</v>
      </c>
      <c r="AV11" t="s">
        <v>372</v>
      </c>
      <c r="AW11" t="s">
        <v>368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373</v>
      </c>
      <c r="AU12" t="s">
        <v>357</v>
      </c>
      <c r="AV12" t="s">
        <v>374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375</v>
      </c>
      <c r="AU13" t="s">
        <v>357</v>
      </c>
      <c r="AV13" t="s">
        <v>376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377</v>
      </c>
      <c r="AU14" t="s">
        <v>357</v>
      </c>
      <c r="AV14" t="s">
        <v>363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378</v>
      </c>
      <c r="AU15" t="s">
        <v>357</v>
      </c>
      <c r="AV15" t="s">
        <v>379</v>
      </c>
      <c r="AW15" t="s">
        <v>380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381</v>
      </c>
      <c r="AU16" t="s">
        <v>357</v>
      </c>
      <c r="AV16" t="s">
        <v>360</v>
      </c>
      <c r="AW16" t="s">
        <v>382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383</v>
      </c>
      <c r="AU17" t="s">
        <v>357</v>
      </c>
      <c r="AV17" t="s">
        <v>384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385</v>
      </c>
      <c r="AU18" t="s">
        <v>357</v>
      </c>
      <c r="AV18" t="s">
        <v>360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386</v>
      </c>
      <c r="AU19" t="s">
        <v>387</v>
      </c>
      <c r="AV19" t="s">
        <v>370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388</v>
      </c>
      <c r="AY20" t="s">
        <v>389</v>
      </c>
    </row>
    <row r="82" hidden="1"/>
    <row r="83" hidden="1"/>
    <row r="84" hidden="1"/>
  </sheetData>
  <customSheetViews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</customSheetViews>
  <pageMargins left="0.7" right="0.7" top="0.75" bottom="0.75" header="0.3" footer="0.3"/>
  <pageSetup paperSize="9" orientation="portrait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3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8" sqref="L38"/>
    </sheetView>
  </sheetViews>
  <sheetFormatPr defaultRowHeight="12.75"/>
  <sheetData/>
  <customSheetViews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1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61528DAC-5C4C-48F4-ADE2-8A724B05A086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8" sqref="L38"/>
    </sheetView>
  </sheetViews>
  <sheetFormatPr defaultRowHeight="12.75"/>
  <sheetData/>
  <customSheetViews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1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  <customSheetView guid="{61528DAC-5C4C-48F4-ADE2-8A724B05A086}">
      <selection activeCell="L38" sqref="L3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30CE22D-C12F-4E12-8BB9-3AAE0A6991CC}" state="hidden">
      <pageMargins left="0.7" right="0.7" top="0.75" bottom="0.75" header="0.3" footer="0.3"/>
    </customSheetView>
    <customSheetView guid="{61528DAC-5C4C-48F4-ADE2-8A724B05A08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6"/>
  <sheetViews>
    <sheetView view="pageBreakPreview" topLeftCell="A95" zoomScale="60" workbookViewId="0">
      <selection activeCell="C133" sqref="C133:D133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0" t="s">
        <v>399</v>
      </c>
      <c r="B1" s="430"/>
      <c r="C1" s="430"/>
      <c r="D1" s="430"/>
      <c r="E1" s="430"/>
      <c r="F1" s="430"/>
    </row>
    <row r="2" spans="1:6" ht="20.25">
      <c r="A2" s="430" t="s">
        <v>429</v>
      </c>
      <c r="B2" s="430"/>
      <c r="C2" s="430"/>
      <c r="D2" s="430"/>
      <c r="E2" s="430"/>
      <c r="F2" s="430"/>
    </row>
    <row r="3" spans="1:6" ht="101.25">
      <c r="A3" s="354" t="s">
        <v>0</v>
      </c>
      <c r="B3" s="354" t="s">
        <v>1</v>
      </c>
      <c r="C3" s="355" t="s">
        <v>402</v>
      </c>
      <c r="D3" s="356" t="s">
        <v>411</v>
      </c>
      <c r="E3" s="355" t="s">
        <v>2</v>
      </c>
      <c r="F3" s="357" t="s">
        <v>3</v>
      </c>
    </row>
    <row r="4" spans="1:6" s="6" customFormat="1" ht="20.25">
      <c r="A4" s="358"/>
      <c r="B4" s="359" t="s">
        <v>4</v>
      </c>
      <c r="C4" s="360">
        <f>C5+C12+C17+C22+C24+C28+C7</f>
        <v>142500</v>
      </c>
      <c r="D4" s="360">
        <f>D5+D12+D17+D22+D24+D28+D7</f>
        <v>19641.454019999997</v>
      </c>
      <c r="E4" s="360">
        <f>SUM(D4/C4*100)</f>
        <v>13.783476505263156</v>
      </c>
      <c r="F4" s="360">
        <f>SUM(D4-C4)</f>
        <v>-122858.54598</v>
      </c>
    </row>
    <row r="5" spans="1:6" s="6" customFormat="1" ht="20.25">
      <c r="A5" s="358">
        <v>1010000</v>
      </c>
      <c r="B5" s="359" t="s">
        <v>5</v>
      </c>
      <c r="C5" s="360">
        <f>C6</f>
        <v>118798.5</v>
      </c>
      <c r="D5" s="360">
        <f>D6</f>
        <v>15990.18506</v>
      </c>
      <c r="E5" s="360">
        <f t="shared" ref="E5:E69" si="0">SUM(D5/C5*100)</f>
        <v>13.459921682512826</v>
      </c>
      <c r="F5" s="360">
        <f t="shared" ref="F5:F70" si="1">SUM(D5-C5)</f>
        <v>-102808.31494</v>
      </c>
    </row>
    <row r="6" spans="1:6" ht="20.25">
      <c r="A6" s="361">
        <v>1010200001</v>
      </c>
      <c r="B6" s="362" t="s">
        <v>224</v>
      </c>
      <c r="C6" s="363">
        <v>118798.5</v>
      </c>
      <c r="D6" s="364">
        <v>15990.18506</v>
      </c>
      <c r="E6" s="363">
        <f t="shared" si="0"/>
        <v>13.459921682512826</v>
      </c>
      <c r="F6" s="363">
        <f t="shared" si="1"/>
        <v>-102808.31494</v>
      </c>
    </row>
    <row r="7" spans="1:6" ht="40.5">
      <c r="A7" s="358">
        <v>1030000</v>
      </c>
      <c r="B7" s="365" t="s">
        <v>266</v>
      </c>
      <c r="C7" s="360">
        <f>C8+C10+C9</f>
        <v>5337</v>
      </c>
      <c r="D7" s="360">
        <f>D8+D10+D9+D11</f>
        <v>838.54399000000001</v>
      </c>
      <c r="E7" s="363">
        <f t="shared" si="0"/>
        <v>15.711897882705639</v>
      </c>
      <c r="F7" s="363">
        <f t="shared" si="1"/>
        <v>-4498.4560099999999</v>
      </c>
    </row>
    <row r="8" spans="1:6" ht="20.25">
      <c r="A8" s="361">
        <v>1030223001</v>
      </c>
      <c r="B8" s="362" t="s">
        <v>268</v>
      </c>
      <c r="C8" s="363">
        <v>1814.9069999999999</v>
      </c>
      <c r="D8" s="364">
        <v>373.93695000000002</v>
      </c>
      <c r="E8" s="363">
        <f t="shared" si="0"/>
        <v>20.603642500690121</v>
      </c>
      <c r="F8" s="363">
        <f>SUM(D8-C8)</f>
        <v>-1440.9700499999999</v>
      </c>
    </row>
    <row r="9" spans="1:6" ht="20.25">
      <c r="A9" s="361">
        <v>1030224001</v>
      </c>
      <c r="B9" s="362" t="s">
        <v>274</v>
      </c>
      <c r="C9" s="363">
        <v>21.959</v>
      </c>
      <c r="D9" s="364">
        <v>2.3432499999999998</v>
      </c>
      <c r="E9" s="363">
        <f t="shared" si="0"/>
        <v>10.67102327064074</v>
      </c>
      <c r="F9" s="363">
        <f>SUM(D9-C9)</f>
        <v>-19.615749999999998</v>
      </c>
    </row>
    <row r="10" spans="1:6" ht="20.25">
      <c r="A10" s="361">
        <v>1030225001</v>
      </c>
      <c r="B10" s="362" t="s">
        <v>267</v>
      </c>
      <c r="C10" s="363">
        <v>3500.134</v>
      </c>
      <c r="D10" s="364">
        <v>535.26657</v>
      </c>
      <c r="E10" s="363">
        <f t="shared" si="0"/>
        <v>15.29274507775988</v>
      </c>
      <c r="F10" s="363">
        <f t="shared" si="1"/>
        <v>-2964.8674300000002</v>
      </c>
    </row>
    <row r="11" spans="1:6" ht="20.25">
      <c r="A11" s="361">
        <v>1030226001</v>
      </c>
      <c r="B11" s="362" t="s">
        <v>276</v>
      </c>
      <c r="C11" s="363">
        <v>0</v>
      </c>
      <c r="D11" s="364">
        <v>-73.002780000000001</v>
      </c>
      <c r="E11" s="363" t="e">
        <f t="shared" si="0"/>
        <v>#DIV/0!</v>
      </c>
      <c r="F11" s="363">
        <f t="shared" si="1"/>
        <v>-73.002780000000001</v>
      </c>
    </row>
    <row r="12" spans="1:6" s="6" customFormat="1" ht="20.25">
      <c r="A12" s="358">
        <v>1050000</v>
      </c>
      <c r="B12" s="359" t="s">
        <v>6</v>
      </c>
      <c r="C12" s="360">
        <f>SUM(C13:C16)</f>
        <v>12264.5</v>
      </c>
      <c r="D12" s="360">
        <f>SUM(D13:D16)</f>
        <v>1477.1635799999999</v>
      </c>
      <c r="E12" s="360">
        <f t="shared" si="0"/>
        <v>12.044221778303232</v>
      </c>
      <c r="F12" s="360">
        <f t="shared" si="1"/>
        <v>-10787.33642</v>
      </c>
    </row>
    <row r="13" spans="1:6" s="6" customFormat="1" ht="20.25">
      <c r="A13" s="361">
        <v>1050100000</v>
      </c>
      <c r="B13" s="366" t="s">
        <v>405</v>
      </c>
      <c r="C13" s="363">
        <v>1273.0999999999999</v>
      </c>
      <c r="D13" s="363">
        <v>123.1427</v>
      </c>
      <c r="E13" s="363">
        <f t="shared" si="0"/>
        <v>9.672665148063782</v>
      </c>
      <c r="F13" s="363">
        <f t="shared" si="1"/>
        <v>-1149.9572999999998</v>
      </c>
    </row>
    <row r="14" spans="1:6" ht="20.25">
      <c r="A14" s="361">
        <v>1050200000</v>
      </c>
      <c r="B14" s="366" t="s">
        <v>232</v>
      </c>
      <c r="C14" s="367">
        <v>9543</v>
      </c>
      <c r="D14" s="364">
        <v>1248.63258</v>
      </c>
      <c r="E14" s="363">
        <f t="shared" si="0"/>
        <v>13.084277271298333</v>
      </c>
      <c r="F14" s="363">
        <f t="shared" si="1"/>
        <v>-8294.3674200000005</v>
      </c>
    </row>
    <row r="15" spans="1:6" ht="23.25" customHeight="1">
      <c r="A15" s="361">
        <v>1050300000</v>
      </c>
      <c r="B15" s="366" t="s">
        <v>225</v>
      </c>
      <c r="C15" s="367">
        <v>1248.4000000000001</v>
      </c>
      <c r="D15" s="364">
        <v>95.836299999999994</v>
      </c>
      <c r="E15" s="363">
        <f t="shared" si="0"/>
        <v>7.6767302146747829</v>
      </c>
      <c r="F15" s="363">
        <f t="shared" si="1"/>
        <v>-1152.5637000000002</v>
      </c>
    </row>
    <row r="16" spans="1:6" ht="40.5">
      <c r="A16" s="361">
        <v>1050400002</v>
      </c>
      <c r="B16" s="362" t="s">
        <v>253</v>
      </c>
      <c r="C16" s="367">
        <v>200</v>
      </c>
      <c r="D16" s="364">
        <v>9.5519999999999996</v>
      </c>
      <c r="E16" s="363">
        <f t="shared" si="0"/>
        <v>4.7759999999999998</v>
      </c>
      <c r="F16" s="363">
        <f t="shared" si="1"/>
        <v>-190.44800000000001</v>
      </c>
    </row>
    <row r="17" spans="1:6" s="6" customFormat="1" ht="24" customHeight="1">
      <c r="A17" s="358">
        <v>1060000</v>
      </c>
      <c r="B17" s="359" t="s">
        <v>133</v>
      </c>
      <c r="C17" s="360">
        <f>SUM(C18:C21)</f>
        <v>2300</v>
      </c>
      <c r="D17" s="360">
        <f>SUM(D18:D21)</f>
        <v>189.27432999999999</v>
      </c>
      <c r="E17" s="360">
        <f t="shared" si="0"/>
        <v>8.2293186956521733</v>
      </c>
      <c r="F17" s="360">
        <f t="shared" si="1"/>
        <v>-2110.7256699999998</v>
      </c>
    </row>
    <row r="18" spans="1:6" s="6" customFormat="1" ht="18" customHeight="1">
      <c r="A18" s="361">
        <v>1060100000</v>
      </c>
      <c r="B18" s="366" t="s">
        <v>8</v>
      </c>
      <c r="C18" s="363">
        <v>0</v>
      </c>
      <c r="D18" s="364">
        <v>0</v>
      </c>
      <c r="E18" s="360" t="e">
        <f t="shared" si="0"/>
        <v>#DIV/0!</v>
      </c>
      <c r="F18" s="360">
        <f t="shared" si="1"/>
        <v>0</v>
      </c>
    </row>
    <row r="19" spans="1:6" s="6" customFormat="1" ht="21" customHeight="1">
      <c r="A19" s="361">
        <v>1060200000</v>
      </c>
      <c r="B19" s="366" t="s">
        <v>120</v>
      </c>
      <c r="C19" s="363">
        <v>0</v>
      </c>
      <c r="D19" s="364">
        <v>0</v>
      </c>
      <c r="E19" s="360" t="e">
        <f t="shared" si="0"/>
        <v>#DIV/0!</v>
      </c>
      <c r="F19" s="360">
        <f t="shared" si="1"/>
        <v>0</v>
      </c>
    </row>
    <row r="20" spans="1:6" s="6" customFormat="1" ht="21.75" customHeight="1">
      <c r="A20" s="361">
        <v>1060400000</v>
      </c>
      <c r="B20" s="366" t="s">
        <v>265</v>
      </c>
      <c r="C20" s="363">
        <v>2300</v>
      </c>
      <c r="D20" s="364">
        <v>189.27432999999999</v>
      </c>
      <c r="E20" s="363">
        <f t="shared" si="0"/>
        <v>8.2293186956521733</v>
      </c>
      <c r="F20" s="363">
        <f t="shared" si="1"/>
        <v>-2110.7256699999998</v>
      </c>
    </row>
    <row r="21" spans="1:6" ht="22.5" customHeight="1">
      <c r="A21" s="361">
        <v>1060600000</v>
      </c>
      <c r="B21" s="366" t="s">
        <v>7</v>
      </c>
      <c r="C21" s="363">
        <v>0</v>
      </c>
      <c r="D21" s="364">
        <v>0</v>
      </c>
      <c r="E21" s="363" t="e">
        <f t="shared" si="0"/>
        <v>#DIV/0!</v>
      </c>
      <c r="F21" s="363">
        <f t="shared" si="1"/>
        <v>0</v>
      </c>
    </row>
    <row r="22" spans="1:6" s="6" customFormat="1" ht="42" customHeight="1">
      <c r="A22" s="358">
        <v>1070000</v>
      </c>
      <c r="B22" s="365" t="s">
        <v>9</v>
      </c>
      <c r="C22" s="360">
        <f>SUM(C23)</f>
        <v>1100</v>
      </c>
      <c r="D22" s="360">
        <f>SUM(D23)</f>
        <v>479.49052999999998</v>
      </c>
      <c r="E22" s="360">
        <f t="shared" si="0"/>
        <v>43.590048181818183</v>
      </c>
      <c r="F22" s="360">
        <f t="shared" si="1"/>
        <v>-620.50946999999996</v>
      </c>
    </row>
    <row r="23" spans="1:6" ht="41.25" customHeight="1">
      <c r="A23" s="361">
        <v>1070102001</v>
      </c>
      <c r="B23" s="362" t="s">
        <v>233</v>
      </c>
      <c r="C23" s="363">
        <v>1100</v>
      </c>
      <c r="D23" s="364">
        <v>479.49052999999998</v>
      </c>
      <c r="E23" s="363">
        <f t="shared" si="0"/>
        <v>43.590048181818183</v>
      </c>
      <c r="F23" s="363">
        <f t="shared" si="1"/>
        <v>-620.50946999999996</v>
      </c>
    </row>
    <row r="24" spans="1:6" s="6" customFormat="1" ht="20.25">
      <c r="A24" s="358">
        <v>1080000</v>
      </c>
      <c r="B24" s="359" t="s">
        <v>10</v>
      </c>
      <c r="C24" s="360">
        <f>C25+C26+C27</f>
        <v>2700</v>
      </c>
      <c r="D24" s="360">
        <f>D25+D26+D27</f>
        <v>666.79652999999996</v>
      </c>
      <c r="E24" s="360">
        <f t="shared" si="0"/>
        <v>24.696167777777777</v>
      </c>
      <c r="F24" s="360">
        <f t="shared" si="1"/>
        <v>-2033.2034699999999</v>
      </c>
    </row>
    <row r="25" spans="1:6" ht="30.75" customHeight="1">
      <c r="A25" s="361">
        <v>1080300001</v>
      </c>
      <c r="B25" s="362" t="s">
        <v>234</v>
      </c>
      <c r="C25" s="363">
        <v>1900</v>
      </c>
      <c r="D25" s="433">
        <v>565.42277999999999</v>
      </c>
      <c r="E25" s="363">
        <f t="shared" si="0"/>
        <v>29.759093684210526</v>
      </c>
      <c r="F25" s="363">
        <f t="shared" si="1"/>
        <v>-1334.5772200000001</v>
      </c>
    </row>
    <row r="26" spans="1:6" ht="30.75" customHeight="1">
      <c r="A26" s="361">
        <v>1080600001</v>
      </c>
      <c r="B26" s="362" t="s">
        <v>223</v>
      </c>
      <c r="C26" s="363">
        <v>0</v>
      </c>
      <c r="D26" s="364">
        <v>0</v>
      </c>
      <c r="E26" s="363" t="e">
        <f>SUM(D26/C26*100)</f>
        <v>#DIV/0!</v>
      </c>
      <c r="F26" s="363">
        <f t="shared" si="1"/>
        <v>0</v>
      </c>
    </row>
    <row r="27" spans="1:6" ht="86.25" customHeight="1">
      <c r="A27" s="361">
        <v>1080700001</v>
      </c>
      <c r="B27" s="362" t="s">
        <v>222</v>
      </c>
      <c r="C27" s="363">
        <v>800</v>
      </c>
      <c r="D27" s="364">
        <v>101.37375</v>
      </c>
      <c r="E27" s="363">
        <f t="shared" si="0"/>
        <v>12.67171875</v>
      </c>
      <c r="F27" s="363">
        <f t="shared" si="1"/>
        <v>-698.62625000000003</v>
      </c>
    </row>
    <row r="28" spans="1:6" s="15" customFormat="1" ht="40.5" hidden="1">
      <c r="A28" s="462">
        <v>1090000000</v>
      </c>
      <c r="B28" s="365" t="s">
        <v>226</v>
      </c>
      <c r="C28" s="360">
        <f>C29+C30+C31+C32</f>
        <v>0</v>
      </c>
      <c r="D28" s="360">
        <f>D29+D30+D31+D32</f>
        <v>0</v>
      </c>
      <c r="E28" s="363" t="e">
        <f t="shared" si="0"/>
        <v>#DIV/0!</v>
      </c>
      <c r="F28" s="360">
        <f t="shared" si="1"/>
        <v>0</v>
      </c>
    </row>
    <row r="29" spans="1:6" s="15" customFormat="1" ht="17.25" hidden="1" customHeight="1">
      <c r="A29" s="361">
        <v>1090100000</v>
      </c>
      <c r="B29" s="362" t="s">
        <v>122</v>
      </c>
      <c r="C29" s="363">
        <v>0</v>
      </c>
      <c r="D29" s="364">
        <v>0</v>
      </c>
      <c r="E29" s="363" t="e">
        <f t="shared" si="0"/>
        <v>#DIV/0!</v>
      </c>
      <c r="F29" s="363">
        <f t="shared" si="1"/>
        <v>0</v>
      </c>
    </row>
    <row r="30" spans="1:6" s="15" customFormat="1" ht="17.25" hidden="1" customHeight="1">
      <c r="A30" s="361">
        <v>1090400000</v>
      </c>
      <c r="B30" s="362" t="s">
        <v>123</v>
      </c>
      <c r="C30" s="363">
        <v>0</v>
      </c>
      <c r="D30" s="364">
        <v>0</v>
      </c>
      <c r="E30" s="363" t="e">
        <f t="shared" si="0"/>
        <v>#DIV/0!</v>
      </c>
      <c r="F30" s="363">
        <f t="shared" si="1"/>
        <v>0</v>
      </c>
    </row>
    <row r="31" spans="1:6" s="15" customFormat="1" ht="30" hidden="1" customHeight="1">
      <c r="A31" s="361">
        <v>1090600000</v>
      </c>
      <c r="B31" s="362" t="s">
        <v>124</v>
      </c>
      <c r="C31" s="363">
        <v>0</v>
      </c>
      <c r="D31" s="364">
        <v>0</v>
      </c>
      <c r="E31" s="363" t="e">
        <f t="shared" si="0"/>
        <v>#DIV/0!</v>
      </c>
      <c r="F31" s="363">
        <f t="shared" si="1"/>
        <v>0</v>
      </c>
    </row>
    <row r="32" spans="1:6" s="15" customFormat="1" ht="1.5" hidden="1" customHeight="1">
      <c r="A32" s="361">
        <v>1090700000</v>
      </c>
      <c r="B32" s="362" t="s">
        <v>125</v>
      </c>
      <c r="C32" s="363">
        <v>0</v>
      </c>
      <c r="D32" s="364">
        <v>0</v>
      </c>
      <c r="E32" s="363" t="e">
        <f t="shared" si="0"/>
        <v>#DIV/0!</v>
      </c>
      <c r="F32" s="363">
        <f t="shared" si="1"/>
        <v>0</v>
      </c>
    </row>
    <row r="33" spans="1:6" s="6" customFormat="1" ht="33.75" customHeight="1">
      <c r="A33" s="358"/>
      <c r="B33" s="359" t="s">
        <v>12</v>
      </c>
      <c r="C33" s="360">
        <f>C34+C43+C45+C48+C51+C53+C57</f>
        <v>20634</v>
      </c>
      <c r="D33" s="360">
        <f>D34+D43+D45+D48+D51+D53+D57</f>
        <v>1758.6215999999999</v>
      </c>
      <c r="E33" s="360">
        <f t="shared" si="0"/>
        <v>8.5229310846176212</v>
      </c>
      <c r="F33" s="360">
        <f t="shared" si="1"/>
        <v>-18875.378400000001</v>
      </c>
    </row>
    <row r="34" spans="1:6" s="6" customFormat="1" ht="60.75" customHeight="1">
      <c r="A34" s="358">
        <v>1110000</v>
      </c>
      <c r="B34" s="365" t="s">
        <v>126</v>
      </c>
      <c r="C34" s="360">
        <f>SUM(C35:C42)</f>
        <v>9900</v>
      </c>
      <c r="D34" s="360">
        <f>SUM(D35+D37+D38+D40+D41+D42)</f>
        <v>1317.6924999999999</v>
      </c>
      <c r="E34" s="360">
        <f t="shared" si="0"/>
        <v>13.310025252525252</v>
      </c>
      <c r="F34" s="360">
        <f t="shared" si="1"/>
        <v>-8582.3075000000008</v>
      </c>
    </row>
    <row r="35" spans="1:6" s="6" customFormat="1" ht="34.5" customHeight="1">
      <c r="A35" s="361">
        <v>1110105005</v>
      </c>
      <c r="B35" s="362" t="s">
        <v>305</v>
      </c>
      <c r="C35" s="363">
        <v>30</v>
      </c>
      <c r="D35" s="363">
        <v>0</v>
      </c>
      <c r="E35" s="363">
        <f t="shared" si="0"/>
        <v>0</v>
      </c>
      <c r="F35" s="363">
        <f t="shared" si="1"/>
        <v>-30</v>
      </c>
    </row>
    <row r="36" spans="1:6" ht="27.75" customHeight="1">
      <c r="A36" s="361">
        <v>1110305005</v>
      </c>
      <c r="B36" s="366" t="s">
        <v>235</v>
      </c>
      <c r="C36" s="363">
        <v>0</v>
      </c>
      <c r="D36" s="364">
        <v>0</v>
      </c>
      <c r="E36" s="363" t="e">
        <f t="shared" si="0"/>
        <v>#DIV/0!</v>
      </c>
      <c r="F36" s="363">
        <f t="shared" si="1"/>
        <v>0</v>
      </c>
    </row>
    <row r="37" spans="1:6" ht="20.25">
      <c r="A37" s="368">
        <v>1110501101</v>
      </c>
      <c r="B37" s="369" t="s">
        <v>221</v>
      </c>
      <c r="C37" s="367">
        <v>9000</v>
      </c>
      <c r="D37" s="364">
        <v>1202.33115</v>
      </c>
      <c r="E37" s="363">
        <f t="shared" si="0"/>
        <v>13.359235</v>
      </c>
      <c r="F37" s="363">
        <f t="shared" si="1"/>
        <v>-7797.66885</v>
      </c>
    </row>
    <row r="38" spans="1:6" ht="20.25" customHeight="1">
      <c r="A38" s="361">
        <v>1110503505</v>
      </c>
      <c r="B38" s="366" t="s">
        <v>220</v>
      </c>
      <c r="C38" s="367">
        <v>300</v>
      </c>
      <c r="D38" s="364">
        <v>31.934470000000001</v>
      </c>
      <c r="E38" s="363">
        <f t="shared" si="0"/>
        <v>10.644823333333333</v>
      </c>
      <c r="F38" s="363">
        <f t="shared" si="1"/>
        <v>-268.06553000000002</v>
      </c>
    </row>
    <row r="39" spans="1:6" ht="131.25" customHeight="1">
      <c r="A39" s="361">
        <v>1110502000</v>
      </c>
      <c r="B39" s="362" t="s">
        <v>262</v>
      </c>
      <c r="C39" s="370">
        <v>0</v>
      </c>
      <c r="D39" s="364">
        <v>0</v>
      </c>
      <c r="E39" s="363" t="e">
        <f t="shared" si="0"/>
        <v>#DIV/0!</v>
      </c>
      <c r="F39" s="363">
        <f t="shared" si="1"/>
        <v>0</v>
      </c>
    </row>
    <row r="40" spans="1:6" s="15" customFormat="1" ht="20.25">
      <c r="A40" s="361">
        <v>1110701505</v>
      </c>
      <c r="B40" s="366" t="s">
        <v>236</v>
      </c>
      <c r="C40" s="367">
        <v>70</v>
      </c>
      <c r="D40" s="364">
        <v>0</v>
      </c>
      <c r="E40" s="363">
        <f t="shared" si="0"/>
        <v>0</v>
      </c>
      <c r="F40" s="363">
        <f t="shared" si="1"/>
        <v>-70</v>
      </c>
    </row>
    <row r="41" spans="1:6" s="15" customFormat="1" ht="20.25">
      <c r="A41" s="361">
        <v>1110903000</v>
      </c>
      <c r="B41" s="366" t="s">
        <v>391</v>
      </c>
      <c r="C41" s="367">
        <v>0</v>
      </c>
      <c r="D41" s="364">
        <v>0</v>
      </c>
      <c r="E41" s="363" t="e">
        <f>SUM(D41/C41*100)</f>
        <v>#DIV/0!</v>
      </c>
      <c r="F41" s="363">
        <f>SUM(D41-C41)</f>
        <v>0</v>
      </c>
    </row>
    <row r="42" spans="1:6" s="15" customFormat="1" ht="20.25">
      <c r="A42" s="361">
        <v>1110904505</v>
      </c>
      <c r="B42" s="366" t="s">
        <v>317</v>
      </c>
      <c r="C42" s="367">
        <v>500</v>
      </c>
      <c r="D42" s="364">
        <v>83.426879999999997</v>
      </c>
      <c r="E42" s="363">
        <f t="shared" si="0"/>
        <v>16.685375999999998</v>
      </c>
      <c r="F42" s="363">
        <f t="shared" si="1"/>
        <v>-416.57312000000002</v>
      </c>
    </row>
    <row r="43" spans="1:6" s="15" customFormat="1" ht="40.5">
      <c r="A43" s="358">
        <v>1120000</v>
      </c>
      <c r="B43" s="365" t="s">
        <v>127</v>
      </c>
      <c r="C43" s="371">
        <f>C44</f>
        <v>550</v>
      </c>
      <c r="D43" s="371">
        <f>D44</f>
        <v>29.977599999999999</v>
      </c>
      <c r="E43" s="360">
        <f t="shared" si="0"/>
        <v>5.4504727272727278</v>
      </c>
      <c r="F43" s="360">
        <f t="shared" si="1"/>
        <v>-520.02239999999995</v>
      </c>
    </row>
    <row r="44" spans="1:6" s="15" customFormat="1" ht="40.5">
      <c r="A44" s="361">
        <v>1120100001</v>
      </c>
      <c r="B44" s="362" t="s">
        <v>237</v>
      </c>
      <c r="C44" s="363">
        <v>550</v>
      </c>
      <c r="D44" s="364">
        <v>29.977599999999999</v>
      </c>
      <c r="E44" s="363">
        <f t="shared" si="0"/>
        <v>5.4504727272727278</v>
      </c>
      <c r="F44" s="363">
        <f t="shared" si="1"/>
        <v>-520.02239999999995</v>
      </c>
    </row>
    <row r="45" spans="1:6" s="189" customFormat="1" ht="21.75" customHeight="1">
      <c r="A45" s="372">
        <v>1130000</v>
      </c>
      <c r="B45" s="373" t="s">
        <v>128</v>
      </c>
      <c r="C45" s="360">
        <f>C46+C47</f>
        <v>84</v>
      </c>
      <c r="D45" s="360">
        <f>D46+D47</f>
        <v>0</v>
      </c>
      <c r="E45" s="360">
        <f t="shared" si="0"/>
        <v>0</v>
      </c>
      <c r="F45" s="360">
        <f t="shared" si="1"/>
        <v>-84</v>
      </c>
    </row>
    <row r="46" spans="1:6" s="15" customFormat="1" ht="36" customHeight="1">
      <c r="A46" s="361">
        <v>1130200000</v>
      </c>
      <c r="B46" s="362" t="s">
        <v>315</v>
      </c>
      <c r="C46" s="363">
        <v>84</v>
      </c>
      <c r="D46" s="363">
        <v>0</v>
      </c>
      <c r="E46" s="363">
        <f>SUM(D46/C46*100)</f>
        <v>0</v>
      </c>
      <c r="F46" s="363">
        <f>SUM(D46-C46)</f>
        <v>-84</v>
      </c>
    </row>
    <row r="47" spans="1:6" ht="25.5" customHeight="1">
      <c r="A47" s="361">
        <v>1130305005</v>
      </c>
      <c r="B47" s="362" t="s">
        <v>219</v>
      </c>
      <c r="C47" s="363">
        <v>0</v>
      </c>
      <c r="D47" s="364">
        <v>0</v>
      </c>
      <c r="E47" s="363"/>
      <c r="F47" s="363">
        <f t="shared" si="1"/>
        <v>0</v>
      </c>
    </row>
    <row r="48" spans="1:6" ht="20.25" customHeight="1">
      <c r="A48" s="374">
        <v>1140000</v>
      </c>
      <c r="B48" s="375" t="s">
        <v>129</v>
      </c>
      <c r="C48" s="360">
        <f>C49+C50</f>
        <v>4500</v>
      </c>
      <c r="D48" s="360">
        <f>D49+D50</f>
        <v>69.084389999999999</v>
      </c>
      <c r="E48" s="360">
        <f t="shared" si="0"/>
        <v>1.5352086666666667</v>
      </c>
      <c r="F48" s="360">
        <f t="shared" si="1"/>
        <v>-4430.91561</v>
      </c>
    </row>
    <row r="49" spans="1:8" ht="20.25">
      <c r="A49" s="368">
        <v>1140200000</v>
      </c>
      <c r="B49" s="376" t="s">
        <v>217</v>
      </c>
      <c r="C49" s="363">
        <v>500</v>
      </c>
      <c r="D49" s="364">
        <v>0</v>
      </c>
      <c r="E49" s="363">
        <f t="shared" si="0"/>
        <v>0</v>
      </c>
      <c r="F49" s="363">
        <f t="shared" si="1"/>
        <v>-500</v>
      </c>
    </row>
    <row r="50" spans="1:8" ht="19.5" customHeight="1">
      <c r="A50" s="361">
        <v>1140600000</v>
      </c>
      <c r="B50" s="362" t="s">
        <v>218</v>
      </c>
      <c r="C50" s="363">
        <v>4000</v>
      </c>
      <c r="D50" s="364">
        <v>69.084389999999999</v>
      </c>
      <c r="E50" s="363">
        <f t="shared" si="0"/>
        <v>1.7271097499999999</v>
      </c>
      <c r="F50" s="363">
        <f t="shared" si="1"/>
        <v>-3930.91561</v>
      </c>
    </row>
    <row r="51" spans="1:8" ht="0.75" hidden="1" customHeight="1">
      <c r="A51" s="358">
        <v>1150000000</v>
      </c>
      <c r="B51" s="365" t="s">
        <v>230</v>
      </c>
      <c r="C51" s="360">
        <f>C52</f>
        <v>0</v>
      </c>
      <c r="D51" s="360">
        <f>D52</f>
        <v>0</v>
      </c>
      <c r="E51" s="360" t="e">
        <f t="shared" si="0"/>
        <v>#DIV/0!</v>
      </c>
      <c r="F51" s="360">
        <f t="shared" si="1"/>
        <v>0</v>
      </c>
    </row>
    <row r="52" spans="1:8" ht="61.5" customHeight="1">
      <c r="A52" s="361">
        <v>1150205005</v>
      </c>
      <c r="B52" s="362" t="s">
        <v>231</v>
      </c>
      <c r="C52" s="363">
        <v>0</v>
      </c>
      <c r="D52" s="364">
        <v>0</v>
      </c>
      <c r="E52" s="363" t="e">
        <f t="shared" si="0"/>
        <v>#DIV/0!</v>
      </c>
      <c r="F52" s="363">
        <f t="shared" si="1"/>
        <v>0</v>
      </c>
    </row>
    <row r="53" spans="1:8" ht="40.5">
      <c r="A53" s="358">
        <v>1160000</v>
      </c>
      <c r="B53" s="365" t="s">
        <v>131</v>
      </c>
      <c r="C53" s="360">
        <f>SUM(C54:C56)</f>
        <v>5600</v>
      </c>
      <c r="D53" s="360">
        <f>SUM(D54:D56)</f>
        <v>341.86711000000003</v>
      </c>
      <c r="E53" s="360">
        <f>SUM(D53/C53*100)</f>
        <v>6.1047698214285715</v>
      </c>
      <c r="F53" s="360">
        <f t="shared" si="1"/>
        <v>-5258.1328899999999</v>
      </c>
      <c r="H53" s="152"/>
    </row>
    <row r="54" spans="1:8" ht="36.75" customHeight="1">
      <c r="A54" s="361">
        <v>1160701000</v>
      </c>
      <c r="B54" s="362" t="s">
        <v>407</v>
      </c>
      <c r="C54" s="363">
        <v>0</v>
      </c>
      <c r="D54" s="377">
        <v>0</v>
      </c>
      <c r="E54" s="363" t="e">
        <f>SUM(D54/C54*100)</f>
        <v>#DIV/0!</v>
      </c>
      <c r="F54" s="363">
        <f t="shared" si="1"/>
        <v>0</v>
      </c>
    </row>
    <row r="55" spans="1:8" ht="39.75" customHeight="1">
      <c r="A55" s="361">
        <v>1160709000</v>
      </c>
      <c r="B55" s="362" t="s">
        <v>406</v>
      </c>
      <c r="C55" s="363">
        <v>5600</v>
      </c>
      <c r="D55" s="378">
        <v>341.86711000000003</v>
      </c>
      <c r="E55" s="363">
        <f t="shared" si="0"/>
        <v>6.1047698214285715</v>
      </c>
      <c r="F55" s="363">
        <f t="shared" si="1"/>
        <v>-5258.1328899999999</v>
      </c>
    </row>
    <row r="56" spans="1:8" ht="41.25" customHeight="1">
      <c r="A56" s="361">
        <v>1161012000</v>
      </c>
      <c r="B56" s="362" t="s">
        <v>408</v>
      </c>
      <c r="C56" s="379">
        <v>0</v>
      </c>
      <c r="D56" s="378">
        <v>0</v>
      </c>
      <c r="E56" s="363" t="e">
        <f t="shared" si="0"/>
        <v>#DIV/0!</v>
      </c>
      <c r="F56" s="363">
        <f t="shared" si="1"/>
        <v>0</v>
      </c>
    </row>
    <row r="57" spans="1:8" ht="25.5" customHeight="1">
      <c r="A57" s="358">
        <v>1170000</v>
      </c>
      <c r="B57" s="365" t="s">
        <v>132</v>
      </c>
      <c r="C57" s="360">
        <f>C58+C59</f>
        <v>0</v>
      </c>
      <c r="D57" s="360">
        <f>D58+D59</f>
        <v>0</v>
      </c>
      <c r="E57" s="363" t="e">
        <f t="shared" si="0"/>
        <v>#DIV/0!</v>
      </c>
      <c r="F57" s="360">
        <f t="shared" si="1"/>
        <v>0</v>
      </c>
    </row>
    <row r="58" spans="1:8" ht="20.25">
      <c r="A58" s="361">
        <v>1170105005</v>
      </c>
      <c r="B58" s="362" t="s">
        <v>15</v>
      </c>
      <c r="C58" s="363">
        <v>0</v>
      </c>
      <c r="D58" s="363">
        <v>0</v>
      </c>
      <c r="E58" s="363" t="e">
        <f t="shared" si="0"/>
        <v>#DIV/0!</v>
      </c>
      <c r="F58" s="363">
        <f t="shared" si="1"/>
        <v>0</v>
      </c>
    </row>
    <row r="59" spans="1:8" ht="20.25">
      <c r="A59" s="361">
        <v>1170505005</v>
      </c>
      <c r="B59" s="366" t="s">
        <v>216</v>
      </c>
      <c r="C59" s="363">
        <v>0</v>
      </c>
      <c r="D59" s="364">
        <v>0</v>
      </c>
      <c r="E59" s="363" t="e">
        <f t="shared" si="0"/>
        <v>#DIV/0!</v>
      </c>
      <c r="F59" s="363">
        <f t="shared" si="1"/>
        <v>0</v>
      </c>
    </row>
    <row r="60" spans="1:8" s="6" customFormat="1" ht="20.25">
      <c r="A60" s="358">
        <v>100000</v>
      </c>
      <c r="B60" s="359" t="s">
        <v>16</v>
      </c>
      <c r="C60" s="457">
        <f>SUM(C4,C33)</f>
        <v>163134</v>
      </c>
      <c r="D60" s="457">
        <f>SUM(D4,D33)</f>
        <v>21400.075619999996</v>
      </c>
      <c r="E60" s="360">
        <f>SUM(D60/C60*100)</f>
        <v>13.118096546397437</v>
      </c>
      <c r="F60" s="360">
        <f>SUM(D60-C60)</f>
        <v>-141733.92438000001</v>
      </c>
      <c r="G60" s="94"/>
      <c r="H60" s="94"/>
    </row>
    <row r="61" spans="1:8" s="6" customFormat="1" ht="30" customHeight="1">
      <c r="A61" s="358">
        <v>200000</v>
      </c>
      <c r="B61" s="359" t="s">
        <v>17</v>
      </c>
      <c r="C61" s="360">
        <f>C62+C65+C66+C67+C69+C64+C68</f>
        <v>651163.90240000002</v>
      </c>
      <c r="D61" s="360">
        <f>D62+D65+D66+D67+D69+D64+D68</f>
        <v>3175.5473799999991</v>
      </c>
      <c r="E61" s="360">
        <f t="shared" si="0"/>
        <v>0.48767251506047227</v>
      </c>
      <c r="F61" s="360">
        <f t="shared" si="1"/>
        <v>-647988.35502000002</v>
      </c>
      <c r="G61" s="94"/>
      <c r="H61" s="94"/>
    </row>
    <row r="62" spans="1:8" ht="21.75" customHeight="1">
      <c r="A62" s="368">
        <v>2021000000</v>
      </c>
      <c r="B62" s="369" t="s">
        <v>18</v>
      </c>
      <c r="C62" s="367">
        <v>0</v>
      </c>
      <c r="D62" s="380">
        <v>0</v>
      </c>
      <c r="E62" s="363" t="e">
        <f t="shared" si="0"/>
        <v>#DIV/0!</v>
      </c>
      <c r="F62" s="363">
        <f t="shared" si="1"/>
        <v>0</v>
      </c>
    </row>
    <row r="63" spans="1:8" ht="21" customHeight="1">
      <c r="A63" s="368">
        <v>2020100905</v>
      </c>
      <c r="B63" s="376" t="s">
        <v>261</v>
      </c>
      <c r="C63" s="367">
        <v>0</v>
      </c>
      <c r="D63" s="380">
        <v>0</v>
      </c>
      <c r="E63" s="363" t="e">
        <f t="shared" si="0"/>
        <v>#DIV/0!</v>
      </c>
      <c r="F63" s="363">
        <f t="shared" si="1"/>
        <v>0</v>
      </c>
    </row>
    <row r="64" spans="1:8" ht="21.75" customHeight="1">
      <c r="A64" s="368">
        <v>2021500200</v>
      </c>
      <c r="B64" s="369" t="s">
        <v>227</v>
      </c>
      <c r="C64" s="367">
        <v>10026.9</v>
      </c>
      <c r="D64" s="380">
        <v>1671.2</v>
      </c>
      <c r="E64" s="363">
        <f t="shared" si="0"/>
        <v>16.667165325275011</v>
      </c>
      <c r="F64" s="363">
        <f t="shared" si="1"/>
        <v>-8355.6999999999989</v>
      </c>
    </row>
    <row r="65" spans="1:8" ht="20.25">
      <c r="A65" s="368">
        <v>2022000000</v>
      </c>
      <c r="B65" s="369" t="s">
        <v>19</v>
      </c>
      <c r="C65" s="367">
        <v>248206.1624</v>
      </c>
      <c r="D65" s="364">
        <v>3778.6010000000001</v>
      </c>
      <c r="E65" s="363">
        <f t="shared" si="0"/>
        <v>1.5223638943784743</v>
      </c>
      <c r="F65" s="363">
        <f t="shared" si="1"/>
        <v>-244427.56140000001</v>
      </c>
    </row>
    <row r="66" spans="1:8" ht="20.25">
      <c r="A66" s="368">
        <v>2023000000</v>
      </c>
      <c r="B66" s="369" t="s">
        <v>20</v>
      </c>
      <c r="C66" s="367">
        <v>363023.84</v>
      </c>
      <c r="D66" s="381">
        <v>46481.69068</v>
      </c>
      <c r="E66" s="363">
        <f t="shared" si="0"/>
        <v>12.804032561608075</v>
      </c>
      <c r="F66" s="363">
        <f t="shared" si="1"/>
        <v>-316542.14932000003</v>
      </c>
    </row>
    <row r="67" spans="1:8" ht="19.5" customHeight="1">
      <c r="A67" s="368">
        <v>2024000000</v>
      </c>
      <c r="B67" s="376" t="s">
        <v>21</v>
      </c>
      <c r="C67" s="367">
        <v>29907</v>
      </c>
      <c r="D67" s="382">
        <v>3861.35</v>
      </c>
      <c r="E67" s="363">
        <f t="shared" si="0"/>
        <v>12.911191359882302</v>
      </c>
      <c r="F67" s="363">
        <f t="shared" si="1"/>
        <v>-26045.65</v>
      </c>
    </row>
    <row r="68" spans="1:8" ht="20.25">
      <c r="A68" s="368">
        <v>2180500005</v>
      </c>
      <c r="B68" s="376" t="s">
        <v>310</v>
      </c>
      <c r="C68" s="367">
        <v>0</v>
      </c>
      <c r="D68" s="382">
        <v>0</v>
      </c>
      <c r="E68" s="363" t="e">
        <f t="shared" si="0"/>
        <v>#DIV/0!</v>
      </c>
      <c r="F68" s="363">
        <f t="shared" si="1"/>
        <v>0</v>
      </c>
    </row>
    <row r="69" spans="1:8" ht="18" customHeight="1">
      <c r="A69" s="361">
        <v>2196001005</v>
      </c>
      <c r="B69" s="366" t="s">
        <v>23</v>
      </c>
      <c r="C69" s="364">
        <v>0</v>
      </c>
      <c r="D69" s="364">
        <v>-52617.294300000001</v>
      </c>
      <c r="E69" s="363" t="e">
        <f t="shared" si="0"/>
        <v>#DIV/0!</v>
      </c>
      <c r="F69" s="363">
        <f>SUM(D69-C69)</f>
        <v>-52617.294300000001</v>
      </c>
    </row>
    <row r="70" spans="1:8" s="6" customFormat="1" ht="54" hidden="1" customHeight="1">
      <c r="A70" s="358">
        <v>3000000000</v>
      </c>
      <c r="B70" s="365" t="s">
        <v>24</v>
      </c>
      <c r="C70" s="371">
        <v>0</v>
      </c>
      <c r="D70" s="383">
        <v>0</v>
      </c>
      <c r="E70" s="363" t="e">
        <f>SUM(D70/C70*100)</f>
        <v>#DIV/0!</v>
      </c>
      <c r="F70" s="360">
        <f t="shared" si="1"/>
        <v>0</v>
      </c>
    </row>
    <row r="71" spans="1:8" s="6" customFormat="1" ht="22.5" customHeight="1">
      <c r="A71" s="358"/>
      <c r="B71" s="359" t="s">
        <v>25</v>
      </c>
      <c r="C71" s="461">
        <f>C60+C61</f>
        <v>814297.90240000002</v>
      </c>
      <c r="D71" s="461">
        <f>D60+D61</f>
        <v>24575.622999999996</v>
      </c>
      <c r="E71" s="363">
        <f>SUM(D71/C71*100)</f>
        <v>3.0180137917054268</v>
      </c>
      <c r="F71" s="360">
        <f>SUM(D72-C71)</f>
        <v>-864278.46677000006</v>
      </c>
      <c r="G71" s="215"/>
      <c r="H71" s="94">
        <f>D71-24575.623</f>
        <v>0</v>
      </c>
    </row>
    <row r="72" spans="1:8" s="6" customFormat="1" ht="20.25">
      <c r="A72" s="358"/>
      <c r="B72" s="384" t="s">
        <v>306</v>
      </c>
      <c r="C72" s="385">
        <f>C71-C133</f>
        <v>0</v>
      </c>
      <c r="D72" s="360">
        <f>D71-D133</f>
        <v>-49980.564370000022</v>
      </c>
      <c r="E72" s="386"/>
      <c r="F72" s="386"/>
      <c r="G72" s="94"/>
      <c r="H72" s="94"/>
    </row>
    <row r="73" spans="1:8" ht="20.25">
      <c r="A73" s="387"/>
      <c r="B73" s="388"/>
      <c r="C73" s="389"/>
      <c r="D73" s="389"/>
      <c r="E73" s="390"/>
      <c r="F73" s="390"/>
    </row>
    <row r="74" spans="1:8" ht="101.25">
      <c r="A74" s="391" t="s">
        <v>0</v>
      </c>
      <c r="B74" s="391" t="s">
        <v>26</v>
      </c>
      <c r="C74" s="355" t="s">
        <v>402</v>
      </c>
      <c r="D74" s="356" t="s">
        <v>430</v>
      </c>
      <c r="E74" s="355" t="s">
        <v>2</v>
      </c>
      <c r="F74" s="357" t="s">
        <v>3</v>
      </c>
    </row>
    <row r="75" spans="1:8" ht="20.25">
      <c r="A75" s="392">
        <v>1</v>
      </c>
      <c r="B75" s="391">
        <v>2</v>
      </c>
      <c r="C75" s="393">
        <v>3</v>
      </c>
      <c r="D75" s="394">
        <v>4</v>
      </c>
      <c r="E75" s="393">
        <v>5</v>
      </c>
      <c r="F75" s="393">
        <v>6</v>
      </c>
    </row>
    <row r="76" spans="1:8" s="6" customFormat="1" ht="22.5" customHeight="1">
      <c r="A76" s="395" t="s">
        <v>27</v>
      </c>
      <c r="B76" s="396" t="s">
        <v>28</v>
      </c>
      <c r="C76" s="386">
        <f>SUM(C77+C78+C79+C80+C81+C82+C83)</f>
        <v>49898.756999999998</v>
      </c>
      <c r="D76" s="386">
        <f>SUM(D77:D83)</f>
        <v>5959.5633799999996</v>
      </c>
      <c r="E76" s="397">
        <f>SUM(D76/C76*100)</f>
        <v>11.943310291276394</v>
      </c>
      <c r="F76" s="397">
        <f>SUM(D76-C76)</f>
        <v>-43939.193619999998</v>
      </c>
    </row>
    <row r="77" spans="1:8" s="6" customFormat="1" ht="40.5">
      <c r="A77" s="398" t="s">
        <v>29</v>
      </c>
      <c r="B77" s="399" t="s">
        <v>30</v>
      </c>
      <c r="C77" s="400">
        <v>50</v>
      </c>
      <c r="D77" s="400">
        <v>0</v>
      </c>
      <c r="E77" s="397">
        <f>SUM(D77/C77*100)</f>
        <v>0</v>
      </c>
      <c r="F77" s="397">
        <f>SUM(D77-C77)</f>
        <v>-50</v>
      </c>
    </row>
    <row r="78" spans="1:8" ht="21.75" customHeight="1">
      <c r="A78" s="398" t="s">
        <v>31</v>
      </c>
      <c r="B78" s="401" t="s">
        <v>32</v>
      </c>
      <c r="C78" s="400">
        <v>22970.6</v>
      </c>
      <c r="D78" s="400">
        <v>2184.6098000000002</v>
      </c>
      <c r="E78" s="402">
        <f t="shared" ref="E78:E133" si="2">SUM(D78/C78*100)</f>
        <v>9.5104603275491293</v>
      </c>
      <c r="F78" s="402">
        <f t="shared" ref="F78:F133" si="3">SUM(D78-C78)</f>
        <v>-20785.9902</v>
      </c>
    </row>
    <row r="79" spans="1:8" ht="19.5" customHeight="1">
      <c r="A79" s="398" t="s">
        <v>33</v>
      </c>
      <c r="B79" s="401" t="s">
        <v>34</v>
      </c>
      <c r="C79" s="400">
        <v>15.9</v>
      </c>
      <c r="D79" s="400">
        <v>0</v>
      </c>
      <c r="E79" s="402">
        <f t="shared" si="2"/>
        <v>0</v>
      </c>
      <c r="F79" s="402">
        <f t="shared" si="3"/>
        <v>-15.9</v>
      </c>
    </row>
    <row r="80" spans="1:8" ht="38.25" customHeight="1">
      <c r="A80" s="398" t="s">
        <v>35</v>
      </c>
      <c r="B80" s="401" t="s">
        <v>36</v>
      </c>
      <c r="C80" s="403">
        <v>5278.8</v>
      </c>
      <c r="D80" s="403">
        <v>956.59857999999997</v>
      </c>
      <c r="E80" s="402">
        <f t="shared" si="2"/>
        <v>18.121515874820034</v>
      </c>
      <c r="F80" s="402">
        <f t="shared" si="3"/>
        <v>-4322.2014200000003</v>
      </c>
    </row>
    <row r="81" spans="1:7" ht="18.75" customHeight="1">
      <c r="A81" s="398" t="s">
        <v>37</v>
      </c>
      <c r="B81" s="401" t="s">
        <v>38</v>
      </c>
      <c r="C81" s="400">
        <v>1000</v>
      </c>
      <c r="D81" s="400">
        <v>0</v>
      </c>
      <c r="E81" s="402">
        <f t="shared" si="2"/>
        <v>0</v>
      </c>
      <c r="F81" s="402">
        <f t="shared" si="3"/>
        <v>-1000</v>
      </c>
    </row>
    <row r="82" spans="1:7" ht="24.75" customHeight="1">
      <c r="A82" s="398" t="s">
        <v>39</v>
      </c>
      <c r="B82" s="401" t="s">
        <v>40</v>
      </c>
      <c r="C82" s="403">
        <v>2367.9569999999999</v>
      </c>
      <c r="D82" s="403">
        <v>0</v>
      </c>
      <c r="E82" s="402">
        <f t="shared" si="2"/>
        <v>0</v>
      </c>
      <c r="F82" s="402">
        <f t="shared" si="3"/>
        <v>-2367.9569999999999</v>
      </c>
    </row>
    <row r="83" spans="1:7" ht="24" customHeight="1">
      <c r="A83" s="398" t="s">
        <v>41</v>
      </c>
      <c r="B83" s="401" t="s">
        <v>42</v>
      </c>
      <c r="C83" s="400">
        <v>18215.5</v>
      </c>
      <c r="D83" s="400">
        <v>2818.355</v>
      </c>
      <c r="E83" s="402">
        <f t="shared" si="2"/>
        <v>15.472290082621942</v>
      </c>
      <c r="F83" s="402">
        <f t="shared" si="3"/>
        <v>-15397.145</v>
      </c>
    </row>
    <row r="84" spans="1:7" s="6" customFormat="1" ht="20.25">
      <c r="A84" s="404" t="s">
        <v>43</v>
      </c>
      <c r="B84" s="405" t="s">
        <v>44</v>
      </c>
      <c r="C84" s="386">
        <f>C85</f>
        <v>2150.5</v>
      </c>
      <c r="D84" s="386">
        <f>D85</f>
        <v>358.4</v>
      </c>
      <c r="E84" s="397">
        <f t="shared" si="2"/>
        <v>16.66589165310393</v>
      </c>
      <c r="F84" s="397">
        <f t="shared" si="3"/>
        <v>-1792.1</v>
      </c>
    </row>
    <row r="85" spans="1:7" ht="20.25">
      <c r="A85" s="406" t="s">
        <v>45</v>
      </c>
      <c r="B85" s="407" t="s">
        <v>46</v>
      </c>
      <c r="C85" s="400">
        <v>2150.5</v>
      </c>
      <c r="D85" s="400">
        <v>358.4</v>
      </c>
      <c r="E85" s="402">
        <f t="shared" si="2"/>
        <v>16.66589165310393</v>
      </c>
      <c r="F85" s="402">
        <f t="shared" si="3"/>
        <v>-1792.1</v>
      </c>
    </row>
    <row r="86" spans="1:7" s="6" customFormat="1" ht="21" customHeight="1">
      <c r="A86" s="395" t="s">
        <v>47</v>
      </c>
      <c r="B86" s="396" t="s">
        <v>48</v>
      </c>
      <c r="C86" s="386">
        <f>SUM(C88:C91)</f>
        <v>4262.6000000000004</v>
      </c>
      <c r="D86" s="386">
        <f>SUM(D88:D91)</f>
        <v>363.07962999999995</v>
      </c>
      <c r="E86" s="397">
        <f t="shared" si="2"/>
        <v>8.5177973537277705</v>
      </c>
      <c r="F86" s="397">
        <f t="shared" si="3"/>
        <v>-3899.5203700000002</v>
      </c>
    </row>
    <row r="87" spans="1:7" ht="23.25" customHeight="1">
      <c r="A87" s="398" t="s">
        <v>49</v>
      </c>
      <c r="B87" s="401" t="s">
        <v>50</v>
      </c>
      <c r="C87" s="400">
        <v>0</v>
      </c>
      <c r="D87" s="400">
        <v>0</v>
      </c>
      <c r="E87" s="402" t="e">
        <f t="shared" si="2"/>
        <v>#DIV/0!</v>
      </c>
      <c r="F87" s="402">
        <f t="shared" si="3"/>
        <v>0</v>
      </c>
    </row>
    <row r="88" spans="1:7" ht="20.25">
      <c r="A88" s="408" t="s">
        <v>51</v>
      </c>
      <c r="B88" s="401" t="s">
        <v>312</v>
      </c>
      <c r="C88" s="400">
        <v>1597.7</v>
      </c>
      <c r="D88" s="400">
        <v>100.60724999999999</v>
      </c>
      <c r="E88" s="402">
        <f t="shared" si="2"/>
        <v>6.2970050697878204</v>
      </c>
      <c r="F88" s="402">
        <f t="shared" si="3"/>
        <v>-1497.09275</v>
      </c>
    </row>
    <row r="89" spans="1:7" ht="24" customHeight="1">
      <c r="A89" s="409" t="s">
        <v>53</v>
      </c>
      <c r="B89" s="410" t="s">
        <v>54</v>
      </c>
      <c r="C89" s="400">
        <v>2368.9</v>
      </c>
      <c r="D89" s="400">
        <v>262.47237999999999</v>
      </c>
      <c r="E89" s="402">
        <f t="shared" si="2"/>
        <v>11.079926548186922</v>
      </c>
      <c r="F89" s="402">
        <f t="shared" si="3"/>
        <v>-2106.4276199999999</v>
      </c>
    </row>
    <row r="90" spans="1:7" ht="21" customHeight="1">
      <c r="A90" s="409" t="s">
        <v>214</v>
      </c>
      <c r="B90" s="410" t="s">
        <v>215</v>
      </c>
      <c r="C90" s="400">
        <v>0</v>
      </c>
      <c r="D90" s="400">
        <v>0</v>
      </c>
      <c r="E90" s="402" t="e">
        <f t="shared" si="2"/>
        <v>#DIV/0!</v>
      </c>
      <c r="F90" s="402">
        <f t="shared" si="3"/>
        <v>0</v>
      </c>
    </row>
    <row r="91" spans="1:7" ht="34.5" customHeight="1">
      <c r="A91" s="409" t="s">
        <v>339</v>
      </c>
      <c r="B91" s="410" t="s">
        <v>340</v>
      </c>
      <c r="C91" s="411">
        <v>296</v>
      </c>
      <c r="D91" s="400">
        <v>0</v>
      </c>
      <c r="E91" s="402">
        <f t="shared" si="2"/>
        <v>0</v>
      </c>
      <c r="F91" s="402">
        <f t="shared" si="3"/>
        <v>-296</v>
      </c>
    </row>
    <row r="92" spans="1:7" s="6" customFormat="1" ht="27" customHeight="1">
      <c r="A92" s="395" t="s">
        <v>55</v>
      </c>
      <c r="B92" s="396" t="s">
        <v>56</v>
      </c>
      <c r="C92" s="412">
        <f>SUM(C93:C98)</f>
        <v>73071.62999999999</v>
      </c>
      <c r="D92" s="412">
        <f>SUM(D93:D98)</f>
        <v>4144.5643099999998</v>
      </c>
      <c r="E92" s="397">
        <f t="shared" si="2"/>
        <v>5.6719198819021832</v>
      </c>
      <c r="F92" s="397">
        <f t="shared" si="3"/>
        <v>-68927.065689999989</v>
      </c>
    </row>
    <row r="93" spans="1:7" ht="20.25" customHeight="1">
      <c r="A93" s="398" t="s">
        <v>397</v>
      </c>
      <c r="B93" s="399" t="s">
        <v>398</v>
      </c>
      <c r="C93" s="413">
        <v>200</v>
      </c>
      <c r="D93" s="413">
        <v>21</v>
      </c>
      <c r="E93" s="402">
        <f t="shared" si="2"/>
        <v>10.5</v>
      </c>
      <c r="F93" s="402">
        <f t="shared" si="3"/>
        <v>-179</v>
      </c>
    </row>
    <row r="94" spans="1:7" ht="0.75" hidden="1" customHeight="1">
      <c r="A94" s="398" t="s">
        <v>57</v>
      </c>
      <c r="B94" s="401" t="s">
        <v>58</v>
      </c>
      <c r="C94" s="413">
        <v>0</v>
      </c>
      <c r="D94" s="400">
        <v>0</v>
      </c>
      <c r="E94" s="402" t="e">
        <f t="shared" si="2"/>
        <v>#DIV/0!</v>
      </c>
      <c r="F94" s="402">
        <f t="shared" si="3"/>
        <v>0</v>
      </c>
    </row>
    <row r="95" spans="1:7" s="6" customFormat="1" ht="20.25" customHeight="1">
      <c r="A95" s="398" t="s">
        <v>57</v>
      </c>
      <c r="B95" s="401" t="s">
        <v>309</v>
      </c>
      <c r="C95" s="413">
        <v>87.9</v>
      </c>
      <c r="D95" s="400">
        <v>2.25</v>
      </c>
      <c r="E95" s="402">
        <f t="shared" si="2"/>
        <v>2.5597269624573378</v>
      </c>
      <c r="F95" s="402">
        <f t="shared" si="3"/>
        <v>-85.65</v>
      </c>
      <c r="G95" s="50"/>
    </row>
    <row r="96" spans="1:7" s="6" customFormat="1" ht="20.25" customHeight="1">
      <c r="A96" s="398" t="s">
        <v>59</v>
      </c>
      <c r="B96" s="401" t="s">
        <v>392</v>
      </c>
      <c r="C96" s="413">
        <v>0</v>
      </c>
      <c r="D96" s="400">
        <v>0</v>
      </c>
      <c r="E96" s="402" t="e">
        <f t="shared" si="2"/>
        <v>#DIV/0!</v>
      </c>
      <c r="F96" s="402">
        <f t="shared" si="3"/>
        <v>0</v>
      </c>
      <c r="G96" s="50"/>
    </row>
    <row r="97" spans="1:6" ht="24" customHeight="1">
      <c r="A97" s="398" t="s">
        <v>61</v>
      </c>
      <c r="B97" s="401" t="s">
        <v>62</v>
      </c>
      <c r="C97" s="413">
        <v>71954.33</v>
      </c>
      <c r="D97" s="400">
        <v>4087.3283099999999</v>
      </c>
      <c r="E97" s="402">
        <f t="shared" si="2"/>
        <v>5.6804480147337895</v>
      </c>
      <c r="F97" s="402">
        <f t="shared" si="3"/>
        <v>-67867.001690000005</v>
      </c>
    </row>
    <row r="98" spans="1:6" ht="20.25">
      <c r="A98" s="398" t="s">
        <v>63</v>
      </c>
      <c r="B98" s="401" t="s">
        <v>64</v>
      </c>
      <c r="C98" s="413">
        <v>829.4</v>
      </c>
      <c r="D98" s="400">
        <v>33.985999999999997</v>
      </c>
      <c r="E98" s="402">
        <f t="shared" si="2"/>
        <v>4.0976609597299252</v>
      </c>
      <c r="F98" s="402">
        <f t="shared" si="3"/>
        <v>-795.41399999999999</v>
      </c>
    </row>
    <row r="99" spans="1:6" s="6" customFormat="1" ht="20.25">
      <c r="A99" s="395" t="s">
        <v>65</v>
      </c>
      <c r="B99" s="396" t="s">
        <v>66</v>
      </c>
      <c r="C99" s="386">
        <f>SUM(C100:C102)</f>
        <v>16893.349399999999</v>
      </c>
      <c r="D99" s="386">
        <f>SUM(D100:D102)</f>
        <v>79.174729999999997</v>
      </c>
      <c r="E99" s="397">
        <f t="shared" si="2"/>
        <v>0.46867396231087249</v>
      </c>
      <c r="F99" s="397">
        <f t="shared" si="3"/>
        <v>-16814.17467</v>
      </c>
    </row>
    <row r="100" spans="1:6" ht="20.25">
      <c r="A100" s="398" t="s">
        <v>67</v>
      </c>
      <c r="B100" s="414" t="s">
        <v>68</v>
      </c>
      <c r="C100" s="400">
        <v>500</v>
      </c>
      <c r="D100" s="400">
        <v>79.174729999999997</v>
      </c>
      <c r="E100" s="402">
        <f t="shared" si="2"/>
        <v>15.834946</v>
      </c>
      <c r="F100" s="402">
        <f t="shared" si="3"/>
        <v>-420.82526999999999</v>
      </c>
    </row>
    <row r="101" spans="1:6" ht="23.25" customHeight="1">
      <c r="A101" s="398" t="s">
        <v>69</v>
      </c>
      <c r="B101" s="414" t="s">
        <v>70</v>
      </c>
      <c r="C101" s="400">
        <v>8350.7999999999993</v>
      </c>
      <c r="D101" s="400">
        <v>0</v>
      </c>
      <c r="E101" s="402">
        <f t="shared" si="2"/>
        <v>0</v>
      </c>
      <c r="F101" s="402">
        <f t="shared" si="3"/>
        <v>-8350.7999999999993</v>
      </c>
    </row>
    <row r="102" spans="1:6" ht="19.5" customHeight="1">
      <c r="A102" s="398" t="s">
        <v>71</v>
      </c>
      <c r="B102" s="401" t="s">
        <v>72</v>
      </c>
      <c r="C102" s="400">
        <v>8042.5493999999999</v>
      </c>
      <c r="D102" s="400">
        <v>0</v>
      </c>
      <c r="E102" s="402">
        <f t="shared" si="2"/>
        <v>0</v>
      </c>
      <c r="F102" s="402">
        <f t="shared" si="3"/>
        <v>-8042.5493999999999</v>
      </c>
    </row>
    <row r="103" spans="1:6" s="6" customFormat="1" ht="20.25">
      <c r="A103" s="395" t="s">
        <v>73</v>
      </c>
      <c r="B103" s="415" t="s">
        <v>74</v>
      </c>
      <c r="C103" s="412">
        <f>SUM(C104)</f>
        <v>50</v>
      </c>
      <c r="D103" s="412">
        <f>SUM(D104)</f>
        <v>0</v>
      </c>
      <c r="E103" s="397">
        <f t="shared" si="2"/>
        <v>0</v>
      </c>
      <c r="F103" s="397">
        <f t="shared" si="3"/>
        <v>-50</v>
      </c>
    </row>
    <row r="104" spans="1:6" ht="40.5">
      <c r="A104" s="398" t="s">
        <v>75</v>
      </c>
      <c r="B104" s="414" t="s">
        <v>76</v>
      </c>
      <c r="C104" s="402">
        <v>50</v>
      </c>
      <c r="D104" s="403">
        <v>0</v>
      </c>
      <c r="E104" s="402">
        <f t="shared" si="2"/>
        <v>0</v>
      </c>
      <c r="F104" s="402">
        <f t="shared" si="3"/>
        <v>-50</v>
      </c>
    </row>
    <row r="105" spans="1:6" s="6" customFormat="1" ht="20.25">
      <c r="A105" s="395" t="s">
        <v>77</v>
      </c>
      <c r="B105" s="415" t="s">
        <v>78</v>
      </c>
      <c r="C105" s="412">
        <f>SUM(C106:C110)</f>
        <v>484381.63</v>
      </c>
      <c r="D105" s="412">
        <f>D106+D107+D109+D110+D108</f>
        <v>51786.467980000001</v>
      </c>
      <c r="E105" s="397">
        <f t="shared" si="2"/>
        <v>10.691253501913357</v>
      </c>
      <c r="F105" s="397">
        <f t="shared" si="3"/>
        <v>-432595.16201999999</v>
      </c>
    </row>
    <row r="106" spans="1:6" ht="20.25">
      <c r="A106" s="398" t="s">
        <v>79</v>
      </c>
      <c r="B106" s="414" t="s">
        <v>246</v>
      </c>
      <c r="C106" s="413">
        <v>120190.5</v>
      </c>
      <c r="D106" s="400">
        <v>12585.0445</v>
      </c>
      <c r="E106" s="402">
        <f t="shared" si="2"/>
        <v>10.470914506554179</v>
      </c>
      <c r="F106" s="402">
        <f t="shared" si="3"/>
        <v>-107605.4555</v>
      </c>
    </row>
    <row r="107" spans="1:6" ht="20.25">
      <c r="A107" s="398" t="s">
        <v>80</v>
      </c>
      <c r="B107" s="414" t="s">
        <v>247</v>
      </c>
      <c r="C107" s="413">
        <v>335253.8</v>
      </c>
      <c r="D107" s="400">
        <v>35542.90681</v>
      </c>
      <c r="E107" s="402">
        <f t="shared" si="2"/>
        <v>10.601790884995189</v>
      </c>
      <c r="F107" s="402">
        <f t="shared" si="3"/>
        <v>-299710.89318999997</v>
      </c>
    </row>
    <row r="108" spans="1:6" ht="20.25">
      <c r="A108" s="398" t="s">
        <v>318</v>
      </c>
      <c r="B108" s="414" t="s">
        <v>319</v>
      </c>
      <c r="C108" s="413">
        <v>21192.13</v>
      </c>
      <c r="D108" s="400">
        <v>3375.7053500000002</v>
      </c>
      <c r="E108" s="402">
        <f t="shared" si="2"/>
        <v>15.929051728165126</v>
      </c>
      <c r="F108" s="402">
        <f t="shared" si="3"/>
        <v>-17816.424650000001</v>
      </c>
    </row>
    <row r="109" spans="1:6" ht="20.25">
      <c r="A109" s="398" t="s">
        <v>81</v>
      </c>
      <c r="B109" s="414" t="s">
        <v>248</v>
      </c>
      <c r="C109" s="413">
        <v>5132.8999999999996</v>
      </c>
      <c r="D109" s="400">
        <v>9.74</v>
      </c>
      <c r="E109" s="402">
        <f t="shared" si="2"/>
        <v>0.18975627812737442</v>
      </c>
      <c r="F109" s="402">
        <f t="shared" si="3"/>
        <v>-5123.16</v>
      </c>
    </row>
    <row r="110" spans="1:6" ht="20.25">
      <c r="A110" s="398" t="s">
        <v>82</v>
      </c>
      <c r="B110" s="414" t="s">
        <v>249</v>
      </c>
      <c r="C110" s="413">
        <v>2612.3000000000002</v>
      </c>
      <c r="D110" s="400">
        <v>273.07132000000001</v>
      </c>
      <c r="E110" s="402">
        <f t="shared" si="2"/>
        <v>10.453290969643609</v>
      </c>
      <c r="F110" s="402">
        <f t="shared" si="3"/>
        <v>-2339.2286800000002</v>
      </c>
    </row>
    <row r="111" spans="1:6" s="6" customFormat="1" ht="20.25">
      <c r="A111" s="395" t="s">
        <v>83</v>
      </c>
      <c r="B111" s="396" t="s">
        <v>84</v>
      </c>
      <c r="C111" s="386">
        <f>SUM(C112:C113)</f>
        <v>68884.525999999998</v>
      </c>
      <c r="D111" s="386">
        <f>SUM(D112:D113)</f>
        <v>5060.4070099999999</v>
      </c>
      <c r="E111" s="397">
        <f t="shared" si="2"/>
        <v>7.3462173638242065</v>
      </c>
      <c r="F111" s="397">
        <f t="shared" si="3"/>
        <v>-63824.118989999995</v>
      </c>
    </row>
    <row r="112" spans="1:6" ht="20.25">
      <c r="A112" s="398" t="s">
        <v>85</v>
      </c>
      <c r="B112" s="401" t="s">
        <v>229</v>
      </c>
      <c r="C112" s="400">
        <v>67784.525999999998</v>
      </c>
      <c r="D112" s="400">
        <v>4848.2140099999997</v>
      </c>
      <c r="E112" s="402">
        <f t="shared" si="2"/>
        <v>7.1523905175644362</v>
      </c>
      <c r="F112" s="402">
        <f t="shared" si="3"/>
        <v>-62936.311990000002</v>
      </c>
    </row>
    <row r="113" spans="1:7" ht="40.5">
      <c r="A113" s="398" t="s">
        <v>258</v>
      </c>
      <c r="B113" s="401" t="s">
        <v>259</v>
      </c>
      <c r="C113" s="400">
        <v>1100</v>
      </c>
      <c r="D113" s="400">
        <v>212.19300000000001</v>
      </c>
      <c r="E113" s="402">
        <f t="shared" si="2"/>
        <v>19.290272727272729</v>
      </c>
      <c r="F113" s="402">
        <f t="shared" si="3"/>
        <v>-887.80700000000002</v>
      </c>
    </row>
    <row r="114" spans="1:7" s="6" customFormat="1" ht="20.25">
      <c r="A114" s="416">
        <v>1000</v>
      </c>
      <c r="B114" s="396" t="s">
        <v>86</v>
      </c>
      <c r="C114" s="386">
        <f>SUM(C115:C118)</f>
        <v>32246.239999999998</v>
      </c>
      <c r="D114" s="449">
        <f>D115+D116+D117+D118</f>
        <v>839.43123000000003</v>
      </c>
      <c r="E114" s="397">
        <f t="shared" si="2"/>
        <v>2.6031910387071489</v>
      </c>
      <c r="F114" s="397">
        <f t="shared" si="3"/>
        <v>-31406.80877</v>
      </c>
      <c r="G114" s="94"/>
    </row>
    <row r="115" spans="1:7" ht="20.25">
      <c r="A115" s="417">
        <v>1001</v>
      </c>
      <c r="B115" s="418" t="s">
        <v>87</v>
      </c>
      <c r="C115" s="400">
        <v>60</v>
      </c>
      <c r="D115" s="400">
        <v>0</v>
      </c>
      <c r="E115" s="402">
        <f t="shared" si="2"/>
        <v>0</v>
      </c>
      <c r="F115" s="402">
        <f t="shared" si="3"/>
        <v>-60</v>
      </c>
    </row>
    <row r="116" spans="1:7" ht="20.25">
      <c r="A116" s="417">
        <v>1003</v>
      </c>
      <c r="B116" s="418" t="s">
        <v>88</v>
      </c>
      <c r="C116" s="400">
        <v>9962.7999999999993</v>
      </c>
      <c r="D116" s="400">
        <v>715.8175</v>
      </c>
      <c r="E116" s="402">
        <f t="shared" si="2"/>
        <v>7.1849028385594416</v>
      </c>
      <c r="F116" s="402">
        <f t="shared" si="3"/>
        <v>-9246.9825000000001</v>
      </c>
    </row>
    <row r="117" spans="1:7" ht="20.25">
      <c r="A117" s="417">
        <v>1004</v>
      </c>
      <c r="B117" s="418" t="s">
        <v>89</v>
      </c>
      <c r="C117" s="400">
        <v>22075.84</v>
      </c>
      <c r="D117" s="450">
        <v>111.81209</v>
      </c>
      <c r="E117" s="402">
        <f t="shared" si="2"/>
        <v>0.50649076094046708</v>
      </c>
      <c r="F117" s="402">
        <f t="shared" si="3"/>
        <v>-21964.027910000001</v>
      </c>
    </row>
    <row r="118" spans="1:7" ht="20.25" customHeight="1">
      <c r="A118" s="398" t="s">
        <v>90</v>
      </c>
      <c r="B118" s="401" t="s">
        <v>91</v>
      </c>
      <c r="C118" s="400">
        <v>147.6</v>
      </c>
      <c r="D118" s="400">
        <v>11.801640000000001</v>
      </c>
      <c r="E118" s="402">
        <f t="shared" si="2"/>
        <v>7.9956910569105695</v>
      </c>
      <c r="F118" s="402">
        <f t="shared" si="3"/>
        <v>-135.79836</v>
      </c>
    </row>
    <row r="119" spans="1:7" ht="20.25">
      <c r="A119" s="395" t="s">
        <v>92</v>
      </c>
      <c r="B119" s="396" t="s">
        <v>93</v>
      </c>
      <c r="C119" s="386">
        <f>C120+C121</f>
        <v>37620.199999999997</v>
      </c>
      <c r="D119" s="386">
        <f>D120+D121</f>
        <v>1047.1821</v>
      </c>
      <c r="E119" s="402">
        <f t="shared" si="2"/>
        <v>2.78356335160366</v>
      </c>
      <c r="F119" s="386">
        <f>F120+F121+F122+F123+F124</f>
        <v>-36573.017899999992</v>
      </c>
    </row>
    <row r="120" spans="1:7" ht="20.25">
      <c r="A120" s="398" t="s">
        <v>94</v>
      </c>
      <c r="B120" s="401" t="s">
        <v>95</v>
      </c>
      <c r="C120" s="400">
        <v>450</v>
      </c>
      <c r="D120" s="400">
        <v>42.187100000000001</v>
      </c>
      <c r="E120" s="402">
        <f t="shared" si="2"/>
        <v>9.3749111111111123</v>
      </c>
      <c r="F120" s="402">
        <f t="shared" ref="F120:F128" si="4">SUM(D120-C120)</f>
        <v>-407.81290000000001</v>
      </c>
    </row>
    <row r="121" spans="1:7" ht="20.25" customHeight="1">
      <c r="A121" s="398" t="s">
        <v>96</v>
      </c>
      <c r="B121" s="401" t="s">
        <v>97</v>
      </c>
      <c r="C121" s="400">
        <v>37170.199999999997</v>
      </c>
      <c r="D121" s="400">
        <v>1004.995</v>
      </c>
      <c r="E121" s="402">
        <f t="shared" si="2"/>
        <v>2.7037653819457526</v>
      </c>
      <c r="F121" s="402">
        <f t="shared" si="4"/>
        <v>-36165.204999999994</v>
      </c>
    </row>
    <row r="122" spans="1:7" ht="21" hidden="1" customHeight="1">
      <c r="A122" s="398" t="s">
        <v>98</v>
      </c>
      <c r="B122" s="401" t="s">
        <v>99</v>
      </c>
      <c r="C122" s="400">
        <v>0</v>
      </c>
      <c r="D122" s="400">
        <v>0</v>
      </c>
      <c r="E122" s="402" t="e">
        <f t="shared" si="2"/>
        <v>#DIV/0!</v>
      </c>
      <c r="F122" s="402"/>
    </row>
    <row r="123" spans="1:7" ht="21" hidden="1" customHeight="1">
      <c r="A123" s="398" t="s">
        <v>100</v>
      </c>
      <c r="B123" s="401" t="s">
        <v>101</v>
      </c>
      <c r="C123" s="400"/>
      <c r="D123" s="400"/>
      <c r="E123" s="402" t="e">
        <f t="shared" si="2"/>
        <v>#DIV/0!</v>
      </c>
      <c r="F123" s="402"/>
    </row>
    <row r="124" spans="1:7" ht="21" hidden="1" customHeight="1">
      <c r="A124" s="398" t="s">
        <v>102</v>
      </c>
      <c r="B124" s="401" t="s">
        <v>103</v>
      </c>
      <c r="C124" s="400"/>
      <c r="D124" s="400"/>
      <c r="E124" s="402" t="e">
        <f t="shared" si="2"/>
        <v>#DIV/0!</v>
      </c>
      <c r="F124" s="402"/>
    </row>
    <row r="125" spans="1:7" ht="20.25" customHeight="1">
      <c r="A125" s="395" t="s">
        <v>104</v>
      </c>
      <c r="B125" s="396" t="s">
        <v>105</v>
      </c>
      <c r="C125" s="386">
        <f>C126</f>
        <v>45</v>
      </c>
      <c r="D125" s="451">
        <f>D126</f>
        <v>0</v>
      </c>
      <c r="E125" s="402">
        <f>SUM(D125/C125*100)</f>
        <v>0</v>
      </c>
      <c r="F125" s="402">
        <f t="shared" si="4"/>
        <v>-45</v>
      </c>
    </row>
    <row r="126" spans="1:7" ht="22.5" customHeight="1">
      <c r="A126" s="398" t="s">
        <v>106</v>
      </c>
      <c r="B126" s="401" t="s">
        <v>107</v>
      </c>
      <c r="C126" s="400">
        <v>45</v>
      </c>
      <c r="D126" s="400">
        <v>0</v>
      </c>
      <c r="E126" s="402">
        <f t="shared" si="2"/>
        <v>0</v>
      </c>
      <c r="F126" s="402">
        <f t="shared" si="4"/>
        <v>-45</v>
      </c>
    </row>
    <row r="127" spans="1:7" ht="19.5" hidden="1" customHeight="1">
      <c r="A127" s="395" t="s">
        <v>108</v>
      </c>
      <c r="B127" s="405" t="s">
        <v>109</v>
      </c>
      <c r="C127" s="419">
        <f>C128</f>
        <v>0</v>
      </c>
      <c r="D127" s="419">
        <v>0</v>
      </c>
      <c r="E127" s="402"/>
      <c r="F127" s="397">
        <f t="shared" si="4"/>
        <v>0</v>
      </c>
    </row>
    <row r="128" spans="1:7" ht="37.5" hidden="1" customHeight="1">
      <c r="A128" s="398" t="s">
        <v>110</v>
      </c>
      <c r="B128" s="407" t="s">
        <v>111</v>
      </c>
      <c r="C128" s="403">
        <v>0</v>
      </c>
      <c r="D128" s="403">
        <v>0</v>
      </c>
      <c r="E128" s="397"/>
      <c r="F128" s="402">
        <f t="shared" si="4"/>
        <v>0</v>
      </c>
    </row>
    <row r="129" spans="1:8" s="6" customFormat="1" ht="19.5" customHeight="1">
      <c r="A129" s="416">
        <v>1400</v>
      </c>
      <c r="B129" s="420" t="s">
        <v>112</v>
      </c>
      <c r="C129" s="412">
        <f>C130+C131+C132</f>
        <v>44793.47</v>
      </c>
      <c r="D129" s="412">
        <f>D130+D131+D132</f>
        <v>4917.9170000000004</v>
      </c>
      <c r="E129" s="397">
        <f t="shared" si="2"/>
        <v>10.979093604491904</v>
      </c>
      <c r="F129" s="397">
        <f t="shared" si="3"/>
        <v>-39875.553</v>
      </c>
    </row>
    <row r="130" spans="1:8" ht="40.5" customHeight="1">
      <c r="A130" s="417">
        <v>1401</v>
      </c>
      <c r="B130" s="418" t="s">
        <v>113</v>
      </c>
      <c r="C130" s="413">
        <v>29508</v>
      </c>
      <c r="D130" s="400">
        <v>4917.9170000000004</v>
      </c>
      <c r="E130" s="402">
        <f t="shared" si="2"/>
        <v>16.666385387013694</v>
      </c>
      <c r="F130" s="402">
        <f t="shared" si="3"/>
        <v>-24590.082999999999</v>
      </c>
    </row>
    <row r="131" spans="1:8" ht="24.75" customHeight="1">
      <c r="A131" s="417">
        <v>1402</v>
      </c>
      <c r="B131" s="418" t="s">
        <v>114</v>
      </c>
      <c r="C131" s="413">
        <v>4700</v>
      </c>
      <c r="D131" s="400">
        <v>0</v>
      </c>
      <c r="E131" s="402">
        <f t="shared" si="2"/>
        <v>0</v>
      </c>
      <c r="F131" s="402">
        <f t="shared" si="3"/>
        <v>-4700</v>
      </c>
    </row>
    <row r="132" spans="1:8" ht="27" customHeight="1">
      <c r="A132" s="417">
        <v>1403</v>
      </c>
      <c r="B132" s="418" t="s">
        <v>115</v>
      </c>
      <c r="C132" s="413">
        <v>10585.47</v>
      </c>
      <c r="D132" s="400">
        <v>0</v>
      </c>
      <c r="E132" s="402">
        <f t="shared" si="2"/>
        <v>0</v>
      </c>
      <c r="F132" s="402">
        <f t="shared" si="3"/>
        <v>-10585.47</v>
      </c>
    </row>
    <row r="133" spans="1:8" s="6" customFormat="1" ht="20.25">
      <c r="A133" s="416"/>
      <c r="B133" s="421" t="s">
        <v>116</v>
      </c>
      <c r="C133" s="461">
        <f>C76+C84+C86+C92+C99+C103+C105+C111+C114+C119+C125+C127+C129</f>
        <v>814297.9023999999</v>
      </c>
      <c r="D133" s="461">
        <f>D76+D84+D86+D92+D99+D103+D105+D111+D114+D119+D125+D127+D129</f>
        <v>74556.187370000014</v>
      </c>
      <c r="E133" s="397">
        <f t="shared" si="2"/>
        <v>9.1558859663347736</v>
      </c>
      <c r="F133" s="397">
        <f t="shared" si="3"/>
        <v>-739741.71502999985</v>
      </c>
      <c r="G133" s="94"/>
      <c r="H133" s="94"/>
    </row>
    <row r="134" spans="1:8" ht="20.25">
      <c r="A134" s="422"/>
      <c r="B134" s="423"/>
      <c r="C134" s="424"/>
      <c r="D134" s="435"/>
      <c r="E134" s="425"/>
      <c r="F134" s="425"/>
    </row>
    <row r="135" spans="1:8" s="65" customFormat="1" ht="20.25">
      <c r="A135" s="426" t="s">
        <v>117</v>
      </c>
      <c r="B135" s="426"/>
      <c r="C135" s="427"/>
      <c r="D135" s="427"/>
      <c r="E135" s="428"/>
      <c r="F135" s="428"/>
    </row>
    <row r="136" spans="1:8" s="65" customFormat="1" ht="20.25">
      <c r="A136" s="429" t="s">
        <v>118</v>
      </c>
      <c r="B136" s="429"/>
      <c r="C136" s="427" t="s">
        <v>119</v>
      </c>
      <c r="D136" s="427"/>
      <c r="E136" s="428"/>
      <c r="F136" s="428"/>
    </row>
  </sheetData>
  <customSheetViews>
    <customSheetView guid="{B30CE22D-C12F-4E12-8BB9-3AAE0A6991CC}" scale="60" showPageBreaks="1" printArea="1" hiddenRows="1" view="pageBreakPreview" topLeftCell="A95">
      <selection activeCell="C133" sqref="C133:D133"/>
      <rowBreaks count="1" manualBreakCount="1">
        <brk id="73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7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8"/>
      <headerFooter alignWithMargins="0"/>
    </customSheetView>
    <customSheetView guid="{61528DAC-5C4C-48F4-ADE2-8A724B05A086}" scale="60" showPageBreaks="1" printArea="1" view="pageBreakPreview">
      <selection activeCell="D64" sqref="D64"/>
      <rowBreaks count="1" manualBreakCount="1">
        <brk id="73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29" zoomScale="70" zoomScaleNormal="100" zoomScaleSheetLayoutView="70" workbookViewId="0">
      <selection activeCell="D94" sqref="C94:D94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16" t="s">
        <v>409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615.48</v>
      </c>
      <c r="D4" s="5">
        <f>D5+D12+D14+D17+D20+D7</f>
        <v>84.07338</v>
      </c>
      <c r="E4" s="5">
        <f>SUM(D4/C4*100)</f>
        <v>13.659806979918113</v>
      </c>
      <c r="F4" s="5">
        <f>SUM(D4-C4)</f>
        <v>-531.40661999999998</v>
      </c>
    </row>
    <row r="5" spans="1:6" s="6" customFormat="1">
      <c r="A5" s="68">
        <v>1010000000</v>
      </c>
      <c r="B5" s="67" t="s">
        <v>5</v>
      </c>
      <c r="C5" s="5">
        <f>C6</f>
        <v>89.8</v>
      </c>
      <c r="D5" s="5">
        <f>D6</f>
        <v>4.3124099999999999</v>
      </c>
      <c r="E5" s="5">
        <f t="shared" ref="E5:E47" si="0">SUM(D5/C5*100)</f>
        <v>4.8022383073496666</v>
      </c>
      <c r="F5" s="5">
        <f t="shared" ref="F5:F47" si="1">SUM(D5-C5)</f>
        <v>-85.487589999999997</v>
      </c>
    </row>
    <row r="6" spans="1:6">
      <c r="A6" s="7">
        <v>1010200001</v>
      </c>
      <c r="B6" s="8" t="s">
        <v>224</v>
      </c>
      <c r="C6" s="9">
        <v>89.8</v>
      </c>
      <c r="D6" s="10">
        <v>4.3124099999999999</v>
      </c>
      <c r="E6" s="9">
        <f t="shared" ref="E6:E11" si="2">SUM(D6/C6*100)</f>
        <v>4.8022383073496666</v>
      </c>
      <c r="F6" s="9">
        <f t="shared" si="1"/>
        <v>-85.487589999999997</v>
      </c>
    </row>
    <row r="7" spans="1:6" ht="31.5">
      <c r="A7" s="3">
        <v>1030000000</v>
      </c>
      <c r="B7" s="13" t="s">
        <v>266</v>
      </c>
      <c r="C7" s="5">
        <f>C8+C10+C9</f>
        <v>256.67999999999995</v>
      </c>
      <c r="D7" s="5">
        <f>D8+D10+D9+D11</f>
        <v>40.329940000000001</v>
      </c>
      <c r="E7" s="9">
        <f t="shared" si="2"/>
        <v>15.712147420913203</v>
      </c>
      <c r="F7" s="9">
        <f t="shared" si="1"/>
        <v>-216.35005999999996</v>
      </c>
    </row>
    <row r="8" spans="1:6">
      <c r="A8" s="7">
        <v>1030223001</v>
      </c>
      <c r="B8" s="8" t="s">
        <v>268</v>
      </c>
      <c r="C8" s="9">
        <v>95.74</v>
      </c>
      <c r="D8" s="10">
        <v>17.984539999999999</v>
      </c>
      <c r="E8" s="9">
        <f t="shared" si="2"/>
        <v>18.784771255483601</v>
      </c>
      <c r="F8" s="9">
        <f t="shared" si="1"/>
        <v>-77.755459999999999</v>
      </c>
    </row>
    <row r="9" spans="1:6">
      <c r="A9" s="7">
        <v>1030224001</v>
      </c>
      <c r="B9" s="8" t="s">
        <v>272</v>
      </c>
      <c r="C9" s="9">
        <v>1.03</v>
      </c>
      <c r="D9" s="10">
        <v>0.11273</v>
      </c>
      <c r="E9" s="9">
        <f t="shared" si="2"/>
        <v>10.944660194174757</v>
      </c>
      <c r="F9" s="9">
        <f t="shared" si="1"/>
        <v>-0.91727000000000003</v>
      </c>
    </row>
    <row r="10" spans="1:6">
      <c r="A10" s="7">
        <v>1030225001</v>
      </c>
      <c r="B10" s="8" t="s">
        <v>267</v>
      </c>
      <c r="C10" s="9">
        <v>159.91</v>
      </c>
      <c r="D10" s="10">
        <v>25.743749999999999</v>
      </c>
      <c r="E10" s="9">
        <f t="shared" si="2"/>
        <v>16.098899380901756</v>
      </c>
      <c r="F10" s="9">
        <f t="shared" si="1"/>
        <v>-134.16624999999999</v>
      </c>
    </row>
    <row r="11" spans="1:6">
      <c r="A11" s="7">
        <v>1030226001</v>
      </c>
      <c r="B11" s="8" t="s">
        <v>273</v>
      </c>
      <c r="C11" s="9">
        <v>0</v>
      </c>
      <c r="D11" s="10">
        <v>-3.5110800000000002</v>
      </c>
      <c r="E11" s="9" t="e">
        <f t="shared" si="2"/>
        <v>#DIV/0!</v>
      </c>
      <c r="F11" s="9">
        <f t="shared" si="1"/>
        <v>-3.5110800000000002</v>
      </c>
    </row>
    <row r="12" spans="1:6" s="6" customFormat="1">
      <c r="A12" s="68">
        <v>1050000000</v>
      </c>
      <c r="B12" s="67" t="s">
        <v>6</v>
      </c>
      <c r="C12" s="5">
        <f>C13</f>
        <v>35</v>
      </c>
      <c r="D12" s="5">
        <f>D13</f>
        <v>24.1173</v>
      </c>
      <c r="E12" s="5">
        <f t="shared" si="0"/>
        <v>68.906571428571425</v>
      </c>
      <c r="F12" s="5">
        <f t="shared" si="1"/>
        <v>-10.8827</v>
      </c>
    </row>
    <row r="13" spans="1:6" ht="15.75" customHeight="1">
      <c r="A13" s="7">
        <v>1050300000</v>
      </c>
      <c r="B13" s="11" t="s">
        <v>225</v>
      </c>
      <c r="C13" s="12">
        <v>35</v>
      </c>
      <c r="D13" s="10">
        <v>24.1173</v>
      </c>
      <c r="E13" s="9">
        <f t="shared" si="0"/>
        <v>68.906571428571425</v>
      </c>
      <c r="F13" s="9">
        <f t="shared" si="1"/>
        <v>-10.8827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231</v>
      </c>
      <c r="D14" s="5">
        <f>D15+D16</f>
        <v>14.913730000000001</v>
      </c>
      <c r="E14" s="5">
        <f t="shared" si="0"/>
        <v>6.456160173160173</v>
      </c>
      <c r="F14" s="5">
        <f t="shared" si="1"/>
        <v>-216.08627000000001</v>
      </c>
    </row>
    <row r="15" spans="1:6" s="6" customFormat="1" ht="15.75" customHeight="1">
      <c r="A15" s="7">
        <v>1060100000</v>
      </c>
      <c r="B15" s="11" t="s">
        <v>8</v>
      </c>
      <c r="C15" s="9">
        <v>38</v>
      </c>
      <c r="D15" s="10">
        <v>1.68025</v>
      </c>
      <c r="E15" s="9">
        <f t="shared" si="0"/>
        <v>4.4217105263157901</v>
      </c>
      <c r="F15" s="9">
        <f>SUM(D15-C15)</f>
        <v>-36.319749999999999</v>
      </c>
    </row>
    <row r="16" spans="1:6" ht="15" customHeight="1">
      <c r="A16" s="7">
        <v>1060600000</v>
      </c>
      <c r="B16" s="11" t="s">
        <v>7</v>
      </c>
      <c r="C16" s="9">
        <v>193</v>
      </c>
      <c r="D16" s="10">
        <v>13.23348</v>
      </c>
      <c r="E16" s="9">
        <f t="shared" si="0"/>
        <v>6.8567253886010358</v>
      </c>
      <c r="F16" s="9">
        <f t="shared" si="1"/>
        <v>-179.76652000000001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0.4</v>
      </c>
      <c r="E17" s="9">
        <f t="shared" si="0"/>
        <v>13.333333333333334</v>
      </c>
      <c r="F17" s="5">
        <f t="shared" si="1"/>
        <v>-2.6</v>
      </c>
    </row>
    <row r="18" spans="1:6" ht="18.75" customHeight="1">
      <c r="A18" s="7">
        <v>1080402001</v>
      </c>
      <c r="B18" s="8" t="s">
        <v>223</v>
      </c>
      <c r="C18" s="9">
        <v>3</v>
      </c>
      <c r="D18" s="10">
        <v>0.4</v>
      </c>
      <c r="E18" s="9">
        <f t="shared" si="0"/>
        <v>13.333333333333334</v>
      </c>
      <c r="F18" s="9">
        <f t="shared" si="1"/>
        <v>-2.6</v>
      </c>
    </row>
    <row r="19" spans="1:6" ht="15" hidden="1" customHeight="1">
      <c r="A19" s="7">
        <v>1080714001</v>
      </c>
      <c r="B19" s="8" t="s">
        <v>222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226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0</v>
      </c>
      <c r="E25" s="5">
        <f t="shared" si="0"/>
        <v>0</v>
      </c>
      <c r="F25" s="5">
        <f t="shared" si="1"/>
        <v>-54.3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0</v>
      </c>
      <c r="E26" s="5">
        <f t="shared" si="0"/>
        <v>0</v>
      </c>
      <c r="F26" s="5">
        <f t="shared" si="1"/>
        <v>-54.3</v>
      </c>
    </row>
    <row r="27" spans="1:6" ht="22.5" customHeight="1">
      <c r="A27" s="16">
        <v>1110502000</v>
      </c>
      <c r="B27" s="17" t="s">
        <v>221</v>
      </c>
      <c r="C27" s="12">
        <v>54.3</v>
      </c>
      <c r="D27" s="10">
        <v>0</v>
      </c>
      <c r="E27" s="9">
        <f t="shared" si="0"/>
        <v>0</v>
      </c>
      <c r="F27" s="9">
        <f t="shared" si="1"/>
        <v>-54.3</v>
      </c>
    </row>
    <row r="28" spans="1:6" hidden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50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7">
        <f>C25+C4</f>
        <v>669.78</v>
      </c>
      <c r="D37" s="127">
        <f>SUM(D4,D25)</f>
        <v>84.07338</v>
      </c>
      <c r="E37" s="5">
        <f t="shared" si="0"/>
        <v>12.552387351070502</v>
      </c>
      <c r="F37" s="5">
        <f t="shared" si="1"/>
        <v>-585.70661999999993</v>
      </c>
    </row>
    <row r="38" spans="1:11" s="6" customFormat="1">
      <c r="A38" s="3">
        <v>2000000000</v>
      </c>
      <c r="B38" s="4" t="s">
        <v>17</v>
      </c>
      <c r="C38" s="194">
        <f>C39+C40+C41+C42+C43+C44</f>
        <v>2138.915</v>
      </c>
      <c r="D38" s="194">
        <f>D39+D40+D41+D42+D43+D45+D44</f>
        <v>213.9974</v>
      </c>
      <c r="E38" s="5">
        <f t="shared" si="0"/>
        <v>10.004951108389067</v>
      </c>
      <c r="F38" s="5">
        <f t="shared" si="1"/>
        <v>-1924.9176</v>
      </c>
      <c r="G38" s="19"/>
    </row>
    <row r="39" spans="1:11">
      <c r="A39" s="16">
        <v>2021000000</v>
      </c>
      <c r="B39" s="17" t="s">
        <v>18</v>
      </c>
      <c r="C39" s="226">
        <v>1194.4000000000001</v>
      </c>
      <c r="D39" s="20">
        <v>199.06399999999999</v>
      </c>
      <c r="E39" s="9">
        <f t="shared" si="0"/>
        <v>16.666443402545209</v>
      </c>
      <c r="F39" s="9">
        <f t="shared" si="1"/>
        <v>-995.33600000000013</v>
      </c>
    </row>
    <row r="40" spans="1:11">
      <c r="A40" s="16">
        <v>2021500200</v>
      </c>
      <c r="B40" s="17" t="s">
        <v>227</v>
      </c>
      <c r="C40" s="223">
        <v>100</v>
      </c>
      <c r="D40" s="20">
        <v>0</v>
      </c>
      <c r="E40" s="9">
        <f>SUM(D40/C40*100)</f>
        <v>0</v>
      </c>
      <c r="F40" s="9">
        <f>SUM(D40-C40)</f>
        <v>-100</v>
      </c>
    </row>
    <row r="41" spans="1:11">
      <c r="A41" s="16">
        <v>2022000000</v>
      </c>
      <c r="B41" s="17" t="s">
        <v>19</v>
      </c>
      <c r="C41" s="223">
        <f>386.53+365.4</f>
        <v>751.93</v>
      </c>
      <c r="D41" s="10">
        <v>0</v>
      </c>
      <c r="E41" s="9">
        <f t="shared" si="0"/>
        <v>0</v>
      </c>
      <c r="F41" s="9">
        <f t="shared" si="1"/>
        <v>-751.93</v>
      </c>
    </row>
    <row r="42" spans="1:11" ht="19.5" customHeight="1">
      <c r="A42" s="16">
        <v>2023000000</v>
      </c>
      <c r="B42" s="17" t="s">
        <v>20</v>
      </c>
      <c r="C42" s="223">
        <v>92.584999999999994</v>
      </c>
      <c r="D42" s="187">
        <v>14.933400000000001</v>
      </c>
      <c r="E42" s="9">
        <f t="shared" si="0"/>
        <v>16.129394610358048</v>
      </c>
      <c r="F42" s="9">
        <f t="shared" si="1"/>
        <v>-77.651599999999988</v>
      </c>
    </row>
    <row r="43" spans="1:11">
      <c r="A43" s="7">
        <v>2070500010</v>
      </c>
      <c r="B43" s="17" t="s">
        <v>338</v>
      </c>
      <c r="C43" s="223">
        <v>0</v>
      </c>
      <c r="D43" s="188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3">
        <v>0</v>
      </c>
      <c r="D44" s="188">
        <v>0</v>
      </c>
      <c r="E44" s="9" t="e">
        <f t="shared" si="0"/>
        <v>#DIV/0!</v>
      </c>
      <c r="F44" s="9">
        <f t="shared" si="1"/>
        <v>0</v>
      </c>
    </row>
    <row r="45" spans="1:11" ht="17.25" hidden="1" customHeight="1">
      <c r="A45" s="7">
        <v>2190000010</v>
      </c>
      <c r="B45" s="11" t="s">
        <v>23</v>
      </c>
      <c r="C45" s="231">
        <v>0</v>
      </c>
      <c r="D45" s="220">
        <v>0</v>
      </c>
      <c r="E45" s="5" t="e">
        <f t="shared" si="0"/>
        <v>#DIV/0!</v>
      </c>
      <c r="F45" s="5">
        <f>SUM(D45-C45)</f>
        <v>0</v>
      </c>
    </row>
    <row r="46" spans="1:11" s="434" customFormat="1" ht="19.5" hidden="1" customHeight="1">
      <c r="A46" s="3">
        <v>3000000000</v>
      </c>
      <c r="B46" s="13" t="s">
        <v>24</v>
      </c>
      <c r="C46" s="232">
        <v>0</v>
      </c>
      <c r="D46" s="23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269">
        <f>C37+C38</f>
        <v>2808.6949999999997</v>
      </c>
      <c r="D47" s="463">
        <f>D37+D38</f>
        <v>298.07078000000001</v>
      </c>
      <c r="E47" s="269">
        <f t="shared" si="0"/>
        <v>10.612429615889232</v>
      </c>
      <c r="F47" s="269">
        <f t="shared" si="1"/>
        <v>-2510.6242199999997</v>
      </c>
      <c r="G47" s="200"/>
      <c r="H47" s="200"/>
      <c r="K47" s="130"/>
    </row>
    <row r="48" spans="1:11" s="6" customFormat="1">
      <c r="A48" s="3"/>
      <c r="B48" s="21" t="s">
        <v>307</v>
      </c>
      <c r="C48" s="5">
        <f>C47-C94</f>
        <v>0</v>
      </c>
      <c r="D48" s="5">
        <f>D47-D94</f>
        <v>147.45841999999999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26</v>
      </c>
      <c r="C50" s="179" t="s">
        <v>402</v>
      </c>
      <c r="D50" s="180" t="s">
        <v>411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1133.2750000000001</v>
      </c>
      <c r="D52" s="22">
        <f>D54+D57+D58+D59</f>
        <v>92.715720000000005</v>
      </c>
      <c r="E52" s="34">
        <f>SUM(D52/C52*100)</f>
        <v>8.1812199157309564</v>
      </c>
      <c r="F52" s="34">
        <f>SUM(D52-C52)</f>
        <v>-1040.5592800000002</v>
      </c>
    </row>
    <row r="53" spans="1:6" s="6" customFormat="1" ht="31.5" hidden="1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1114</v>
      </c>
      <c r="D54" s="92">
        <v>92.715720000000005</v>
      </c>
      <c r="E54" s="38">
        <f>SUM(D54/C54*100)</f>
        <v>8.3227755834829438</v>
      </c>
      <c r="F54" s="38">
        <f t="shared" ref="F54:F94" si="3">SUM(D54-C54)</f>
        <v>-1021.28428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hidden="1" customHeight="1">
      <c r="A57" s="35" t="s">
        <v>37</v>
      </c>
      <c r="B57" s="39" t="s">
        <v>38</v>
      </c>
      <c r="C57" s="92">
        <v>12</v>
      </c>
      <c r="D57" s="92">
        <v>0</v>
      </c>
      <c r="E57" s="38">
        <f t="shared" si="4"/>
        <v>0</v>
      </c>
      <c r="F57" s="38">
        <f t="shared" si="3"/>
        <v>-12</v>
      </c>
    </row>
    <row r="58" spans="1:6" ht="17.25" customHeight="1">
      <c r="A58" s="35" t="s">
        <v>39</v>
      </c>
      <c r="B58" s="39" t="s">
        <v>40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41</v>
      </c>
      <c r="B59" s="39" t="s">
        <v>42</v>
      </c>
      <c r="C59" s="92">
        <v>2.2749999999999999</v>
      </c>
      <c r="D59" s="92">
        <v>0</v>
      </c>
      <c r="E59" s="38">
        <f t="shared" si="4"/>
        <v>0</v>
      </c>
      <c r="F59" s="38">
        <f t="shared" si="3"/>
        <v>-2.2749999999999999</v>
      </c>
    </row>
    <row r="60" spans="1:6" s="6" customFormat="1">
      <c r="A60" s="41" t="s">
        <v>43</v>
      </c>
      <c r="B60" s="42" t="s">
        <v>44</v>
      </c>
      <c r="C60" s="22">
        <f>C61</f>
        <v>89.605000000000004</v>
      </c>
      <c r="D60" s="22">
        <f>D61</f>
        <v>9.8966399999999997</v>
      </c>
      <c r="E60" s="34">
        <f t="shared" si="4"/>
        <v>11.044740806874616</v>
      </c>
      <c r="F60" s="34">
        <f t="shared" si="3"/>
        <v>-79.708359999999999</v>
      </c>
    </row>
    <row r="61" spans="1:6">
      <c r="A61" s="43" t="s">
        <v>45</v>
      </c>
      <c r="B61" s="44" t="s">
        <v>46</v>
      </c>
      <c r="C61" s="92">
        <v>89.605000000000004</v>
      </c>
      <c r="D61" s="92">
        <v>9.8966399999999997</v>
      </c>
      <c r="E61" s="38">
        <f t="shared" si="4"/>
        <v>11.044740806874616</v>
      </c>
      <c r="F61" s="38">
        <f t="shared" si="3"/>
        <v>-79.708359999999999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10</v>
      </c>
      <c r="D62" s="22">
        <f>D65+D66+D67</f>
        <v>0</v>
      </c>
      <c r="E62" s="34">
        <f t="shared" si="4"/>
        <v>0</v>
      </c>
      <c r="F62" s="34">
        <f t="shared" si="3"/>
        <v>-10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1</v>
      </c>
      <c r="D65" s="92">
        <v>0</v>
      </c>
      <c r="E65" s="34">
        <f t="shared" si="4"/>
        <v>0</v>
      </c>
      <c r="F65" s="34">
        <f t="shared" si="3"/>
        <v>-1</v>
      </c>
    </row>
    <row r="66" spans="1:7" ht="15.75" customHeight="1">
      <c r="A66" s="46" t="s">
        <v>214</v>
      </c>
      <c r="B66" s="47" t="s">
        <v>215</v>
      </c>
      <c r="C66" s="92">
        <v>7</v>
      </c>
      <c r="D66" s="92">
        <v>0</v>
      </c>
      <c r="E66" s="38">
        <f t="shared" si="4"/>
        <v>0</v>
      </c>
      <c r="F66" s="38">
        <f t="shared" si="3"/>
        <v>-7</v>
      </c>
    </row>
    <row r="67" spans="1:7" ht="15.75" customHeight="1">
      <c r="A67" s="46" t="s">
        <v>339</v>
      </c>
      <c r="B67" s="47" t="s">
        <v>393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5">
        <f>C71+C72+C69+C70</f>
        <v>1015.768</v>
      </c>
      <c r="D68" s="105">
        <f>D71+D72+D69+D70</f>
        <v>0</v>
      </c>
      <c r="E68" s="34">
        <f t="shared" si="4"/>
        <v>0</v>
      </c>
      <c r="F68" s="34">
        <f t="shared" si="3"/>
        <v>-1015.768</v>
      </c>
    </row>
    <row r="69" spans="1:7" ht="16.5" customHeight="1">
      <c r="A69" s="35" t="s">
        <v>57</v>
      </c>
      <c r="B69" s="39" t="s">
        <v>58</v>
      </c>
      <c r="C69" s="106">
        <v>7.1580000000000004</v>
      </c>
      <c r="D69" s="92">
        <v>0</v>
      </c>
      <c r="E69" s="38">
        <f t="shared" si="4"/>
        <v>0</v>
      </c>
      <c r="F69" s="38">
        <f t="shared" si="3"/>
        <v>-7.1580000000000004</v>
      </c>
    </row>
    <row r="70" spans="1:7" s="6" customFormat="1">
      <c r="A70" s="35" t="s">
        <v>59</v>
      </c>
      <c r="B70" s="39" t="s">
        <v>60</v>
      </c>
      <c r="C70" s="106">
        <v>0</v>
      </c>
      <c r="D70" s="92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6">
        <v>1008.61</v>
      </c>
      <c r="D71" s="92">
        <v>0</v>
      </c>
      <c r="E71" s="38">
        <f t="shared" si="4"/>
        <v>0</v>
      </c>
      <c r="F71" s="38">
        <f t="shared" si="3"/>
        <v>-1008.61</v>
      </c>
    </row>
    <row r="72" spans="1:7">
      <c r="A72" s="35" t="s">
        <v>63</v>
      </c>
      <c r="B72" s="39" t="s">
        <v>64</v>
      </c>
      <c r="C72" s="106">
        <v>0</v>
      </c>
      <c r="D72" s="92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</f>
        <v>275.04700000000003</v>
      </c>
      <c r="D73" s="22">
        <f>D76</f>
        <v>0</v>
      </c>
      <c r="E73" s="34">
        <f t="shared" si="4"/>
        <v>0</v>
      </c>
      <c r="F73" s="34">
        <f t="shared" si="3"/>
        <v>-275.04700000000003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69</v>
      </c>
      <c r="B75" s="51" t="s">
        <v>70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275.04700000000003</v>
      </c>
      <c r="D76" s="92">
        <v>0</v>
      </c>
      <c r="E76" s="38">
        <f t="shared" si="4"/>
        <v>0</v>
      </c>
      <c r="F76" s="38">
        <f t="shared" si="3"/>
        <v>-275.04700000000003</v>
      </c>
    </row>
    <row r="77" spans="1:7" s="6" customFormat="1">
      <c r="A77" s="30" t="s">
        <v>83</v>
      </c>
      <c r="B77" s="31" t="s">
        <v>84</v>
      </c>
      <c r="C77" s="22">
        <f>C78</f>
        <v>283</v>
      </c>
      <c r="D77" s="22">
        <f>D78</f>
        <v>48</v>
      </c>
      <c r="E77" s="34">
        <f t="shared" si="4"/>
        <v>16.96113074204947</v>
      </c>
      <c r="F77" s="34">
        <f t="shared" si="3"/>
        <v>-235</v>
      </c>
    </row>
    <row r="78" spans="1:7" ht="14.25" customHeight="1">
      <c r="A78" s="35" t="s">
        <v>85</v>
      </c>
      <c r="B78" s="39" t="s">
        <v>229</v>
      </c>
      <c r="C78" s="92">
        <v>283</v>
      </c>
      <c r="D78" s="92">
        <v>48</v>
      </c>
      <c r="E78" s="38">
        <f t="shared" si="4"/>
        <v>16.96113074204947</v>
      </c>
      <c r="F78" s="38">
        <f t="shared" si="3"/>
        <v>-235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hidden="1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2</v>
      </c>
      <c r="D84" s="22">
        <f>D85</f>
        <v>0</v>
      </c>
      <c r="E84" s="38">
        <f t="shared" si="4"/>
        <v>0</v>
      </c>
      <c r="F84" s="22">
        <f>F85+F86+F87+F88+F89</f>
        <v>-2</v>
      </c>
    </row>
    <row r="85" spans="1:7" ht="11.25" customHeight="1">
      <c r="A85" s="35" t="s">
        <v>94</v>
      </c>
      <c r="B85" s="39" t="s">
        <v>95</v>
      </c>
      <c r="C85" s="92">
        <v>2</v>
      </c>
      <c r="D85" s="92">
        <v>0</v>
      </c>
      <c r="E85" s="38">
        <v>0</v>
      </c>
      <c r="F85" s="38">
        <f>SUM(D85-C85)</f>
        <v>-2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102">
        <f>C52+C60+C62+C68+C73+C77+C84</f>
        <v>2808.6950000000002</v>
      </c>
      <c r="D94" s="102">
        <f>D52+D60+D62+D68+D73+D77+D79+D84+D90</f>
        <v>150.61236000000002</v>
      </c>
      <c r="E94" s="128">
        <f t="shared" si="4"/>
        <v>5.3623608116936872</v>
      </c>
      <c r="F94" s="34">
        <f t="shared" si="3"/>
        <v>-2658.0826400000001</v>
      </c>
      <c r="G94" s="200"/>
    </row>
    <row r="95" spans="1:7">
      <c r="C95" s="126"/>
      <c r="D95" s="101"/>
    </row>
    <row r="96" spans="1:7" s="65" customFormat="1" ht="16.5" customHeight="1">
      <c r="A96" s="63" t="s">
        <v>117</v>
      </c>
      <c r="B96" s="63"/>
      <c r="C96" s="185"/>
      <c r="D96" s="185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B30CE22D-C12F-4E12-8BB9-3AAE0A6991CC}" scale="70" showPageBreaks="1" printArea="1" hiddenRows="1" view="pageBreakPreview" topLeftCell="A29">
      <selection activeCell="D94" sqref="C94:D94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2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6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7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8"/>
      <headerFooter alignWithMargins="0"/>
    </customSheetView>
    <customSheetView guid="{61528DAC-5C4C-48F4-ADE2-8A724B05A086}" scale="70" showPageBreaks="1" printArea="1" hiddenRows="1" view="pageBreakPreview" topLeftCell="A29">
      <selection activeCell="C78" sqref="C78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42"/>
  <sheetViews>
    <sheetView view="pageBreakPreview" topLeftCell="A48" zoomScale="70" zoomScaleNormal="100" zoomScaleSheetLayoutView="70" workbookViewId="0">
      <selection activeCell="C76" sqref="C76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413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135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3554.16</v>
      </c>
      <c r="D4" s="5">
        <f>D5+D12+D14+D17+D7</f>
        <v>277.18362999999999</v>
      </c>
      <c r="E4" s="5">
        <f>SUM(D4/C4*100)</f>
        <v>7.7988506426272313</v>
      </c>
      <c r="F4" s="5">
        <f>SUM(D4-C4)</f>
        <v>-3276.9763699999999</v>
      </c>
    </row>
    <row r="5" spans="1:6" s="6" customFormat="1">
      <c r="A5" s="68">
        <v>1010000000</v>
      </c>
      <c r="B5" s="67" t="s">
        <v>5</v>
      </c>
      <c r="C5" s="5">
        <f>C6</f>
        <v>403.6</v>
      </c>
      <c r="D5" s="5">
        <f>D6</f>
        <v>45.9026</v>
      </c>
      <c r="E5" s="5">
        <f t="shared" ref="E5:E52" si="0">SUM(D5/C5*100)</f>
        <v>11.373290386521308</v>
      </c>
      <c r="F5" s="5">
        <f t="shared" ref="F5:F52" si="1">SUM(D5-C5)</f>
        <v>-357.69740000000002</v>
      </c>
    </row>
    <row r="6" spans="1:6">
      <c r="A6" s="7">
        <v>1010200001</v>
      </c>
      <c r="B6" s="8" t="s">
        <v>224</v>
      </c>
      <c r="C6" s="9">
        <v>403.6</v>
      </c>
      <c r="D6" s="10">
        <v>45.9026</v>
      </c>
      <c r="E6" s="9">
        <f t="shared" ref="E6:E11" si="2">SUM(D6/C6*100)</f>
        <v>11.373290386521308</v>
      </c>
      <c r="F6" s="9">
        <f t="shared" si="1"/>
        <v>-357.69740000000002</v>
      </c>
    </row>
    <row r="7" spans="1:6" ht="31.5">
      <c r="A7" s="3">
        <v>1030000000</v>
      </c>
      <c r="B7" s="13" t="s">
        <v>266</v>
      </c>
      <c r="C7" s="5">
        <f>C8+C10+C9</f>
        <v>739.56000000000006</v>
      </c>
      <c r="D7" s="5">
        <f>D8+D10+D9+D11</f>
        <v>116.19823</v>
      </c>
      <c r="E7" s="5">
        <f t="shared" si="2"/>
        <v>15.711805668235165</v>
      </c>
      <c r="F7" s="5">
        <f t="shared" si="1"/>
        <v>-623.36177000000009</v>
      </c>
    </row>
    <row r="8" spans="1:6">
      <c r="A8" s="7">
        <v>1030223001</v>
      </c>
      <c r="B8" s="8" t="s">
        <v>268</v>
      </c>
      <c r="C8" s="9">
        <v>275.86</v>
      </c>
      <c r="D8" s="10">
        <v>51.816960000000002</v>
      </c>
      <c r="E8" s="9">
        <f t="shared" si="2"/>
        <v>18.783788878416587</v>
      </c>
      <c r="F8" s="9">
        <f t="shared" si="1"/>
        <v>-224.04304000000002</v>
      </c>
    </row>
    <row r="9" spans="1:6">
      <c r="A9" s="7">
        <v>1030224001</v>
      </c>
      <c r="B9" s="8" t="s">
        <v>274</v>
      </c>
      <c r="C9" s="9">
        <v>2.95</v>
      </c>
      <c r="D9" s="10">
        <v>0.32474999999999998</v>
      </c>
      <c r="E9" s="9">
        <f t="shared" si="2"/>
        <v>11.008474576271185</v>
      </c>
      <c r="F9" s="9">
        <f t="shared" si="1"/>
        <v>-2.6252500000000003</v>
      </c>
    </row>
    <row r="10" spans="1:6">
      <c r="A10" s="7">
        <v>1030225001</v>
      </c>
      <c r="B10" s="8" t="s">
        <v>267</v>
      </c>
      <c r="C10" s="9">
        <v>460.75</v>
      </c>
      <c r="D10" s="10">
        <v>74.172640000000001</v>
      </c>
      <c r="E10" s="9">
        <f t="shared" si="2"/>
        <v>16.098239826370051</v>
      </c>
      <c r="F10" s="9">
        <f t="shared" si="1"/>
        <v>-386.57736</v>
      </c>
    </row>
    <row r="11" spans="1:6">
      <c r="A11" s="7">
        <v>1030226001</v>
      </c>
      <c r="B11" s="8" t="s">
        <v>276</v>
      </c>
      <c r="C11" s="9">
        <v>0</v>
      </c>
      <c r="D11" s="10">
        <v>-10.11612</v>
      </c>
      <c r="E11" s="9" t="e">
        <f t="shared" si="2"/>
        <v>#DIV/0!</v>
      </c>
      <c r="F11" s="9">
        <f t="shared" si="1"/>
        <v>-10.11612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0</v>
      </c>
      <c r="E12" s="5">
        <f t="shared" si="0"/>
        <v>0</v>
      </c>
      <c r="F12" s="5">
        <f t="shared" si="1"/>
        <v>-40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0</v>
      </c>
      <c r="E13" s="9">
        <f t="shared" si="0"/>
        <v>0</v>
      </c>
      <c r="F13" s="9">
        <f t="shared" si="1"/>
        <v>-40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2361</v>
      </c>
      <c r="D14" s="5">
        <f>D15+D16</f>
        <v>113.9828</v>
      </c>
      <c r="E14" s="5">
        <f t="shared" si="0"/>
        <v>4.8277340110122831</v>
      </c>
      <c r="F14" s="5">
        <f t="shared" si="1"/>
        <v>-2247.0172000000002</v>
      </c>
    </row>
    <row r="15" spans="1:6" s="6" customFormat="1" ht="15.75" customHeight="1">
      <c r="A15" s="7">
        <v>1060100000</v>
      </c>
      <c r="B15" s="11" t="s">
        <v>8</v>
      </c>
      <c r="C15" s="9">
        <v>1120</v>
      </c>
      <c r="D15" s="10">
        <v>12.757580000000001</v>
      </c>
      <c r="E15" s="5">
        <f t="shared" si="0"/>
        <v>1.139069642857143</v>
      </c>
      <c r="F15" s="9">
        <f>SUM(D15-C15)</f>
        <v>-1107.24242</v>
      </c>
    </row>
    <row r="16" spans="1:6" ht="15" customHeight="1">
      <c r="A16" s="7">
        <v>1060600000</v>
      </c>
      <c r="B16" s="11" t="s">
        <v>7</v>
      </c>
      <c r="C16" s="9">
        <v>1241</v>
      </c>
      <c r="D16" s="10">
        <v>101.22521999999999</v>
      </c>
      <c r="E16" s="5">
        <f t="shared" si="0"/>
        <v>8.1567461724415793</v>
      </c>
      <c r="F16" s="9">
        <f t="shared" si="1"/>
        <v>-1139.77478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1.1000000000000001</v>
      </c>
      <c r="E17" s="5">
        <f t="shared" si="0"/>
        <v>11.000000000000002</v>
      </c>
      <c r="F17" s="5">
        <f t="shared" si="1"/>
        <v>-8.9</v>
      </c>
    </row>
    <row r="18" spans="1:6" ht="18" customHeight="1">
      <c r="A18" s="7">
        <v>1080400001</v>
      </c>
      <c r="B18" s="8" t="s">
        <v>223</v>
      </c>
      <c r="C18" s="9">
        <v>10</v>
      </c>
      <c r="D18" s="10">
        <v>1.1000000000000001</v>
      </c>
      <c r="E18" s="9">
        <f t="shared" si="0"/>
        <v>11.000000000000002</v>
      </c>
      <c r="F18" s="9">
        <f t="shared" si="1"/>
        <v>-8.9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243.9</v>
      </c>
      <c r="D25" s="5">
        <f>D26+D30+D32+D35+D37</f>
        <v>10.654</v>
      </c>
      <c r="E25" s="5">
        <f t="shared" si="0"/>
        <v>4.3681836818368183</v>
      </c>
      <c r="F25" s="5">
        <f t="shared" si="1"/>
        <v>-233.24600000000001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243.9</v>
      </c>
      <c r="D26" s="5">
        <f>D28+D29</f>
        <v>8.3339999999999996</v>
      </c>
      <c r="E26" s="5">
        <f t="shared" si="0"/>
        <v>3.4169741697416973</v>
      </c>
      <c r="F26" s="5">
        <f t="shared" si="1"/>
        <v>-235.566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313</v>
      </c>
      <c r="C28" s="12">
        <v>193.9</v>
      </c>
      <c r="D28" s="10">
        <v>0</v>
      </c>
      <c r="E28" s="9">
        <f t="shared" si="0"/>
        <v>0</v>
      </c>
      <c r="F28" s="9">
        <f t="shared" si="1"/>
        <v>-193.9</v>
      </c>
    </row>
    <row r="29" spans="1:6">
      <c r="A29" s="7">
        <v>1110503000</v>
      </c>
      <c r="B29" s="11" t="s">
        <v>220</v>
      </c>
      <c r="C29" s="12">
        <v>50</v>
      </c>
      <c r="D29" s="10">
        <v>8.3339999999999996</v>
      </c>
      <c r="E29" s="9">
        <f>SUM(D29/C29*100)</f>
        <v>16.667999999999999</v>
      </c>
      <c r="F29" s="9">
        <f t="shared" si="1"/>
        <v>-41.665999999999997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0</v>
      </c>
      <c r="D30" s="5">
        <f>D31</f>
        <v>2.52</v>
      </c>
      <c r="E30" s="5" t="e">
        <f t="shared" si="0"/>
        <v>#DIV/0!</v>
      </c>
      <c r="F30" s="5">
        <f t="shared" si="1"/>
        <v>2.52</v>
      </c>
    </row>
    <row r="31" spans="1:6" ht="18" customHeight="1">
      <c r="A31" s="7">
        <v>1130206005</v>
      </c>
      <c r="B31" s="8" t="s">
        <v>219</v>
      </c>
      <c r="C31" s="9">
        <v>0</v>
      </c>
      <c r="D31" s="10">
        <v>2.52</v>
      </c>
      <c r="E31" s="9" t="e">
        <f>SUM(D31/C31*100)</f>
        <v>#DIV/0!</v>
      </c>
      <c r="F31" s="9">
        <f t="shared" si="1"/>
        <v>2.52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100">
        <v>1160000000</v>
      </c>
      <c r="B35" s="13" t="s">
        <v>240</v>
      </c>
      <c r="C35" s="5">
        <f>C36</f>
        <v>0</v>
      </c>
      <c r="D35" s="14">
        <f>D36</f>
        <v>2.3295599999999999</v>
      </c>
      <c r="E35" s="9" t="e">
        <f t="shared" si="0"/>
        <v>#DIV/0!</v>
      </c>
      <c r="F35" s="9">
        <f t="shared" si="1"/>
        <v>2.3295599999999999</v>
      </c>
    </row>
    <row r="36" spans="1:7" ht="46.5" hidden="1" customHeight="1">
      <c r="A36" s="7">
        <v>1160701010</v>
      </c>
      <c r="B36" s="8" t="s">
        <v>403</v>
      </c>
      <c r="C36" s="9">
        <v>0</v>
      </c>
      <c r="D36" s="10">
        <v>2.3295599999999999</v>
      </c>
      <c r="E36" s="9" t="e">
        <f t="shared" si="0"/>
        <v>#DIV/0!</v>
      </c>
      <c r="F36" s="9">
        <f t="shared" si="1"/>
        <v>2.3295599999999999</v>
      </c>
    </row>
    <row r="37" spans="1:7" ht="24.7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-2.52956</v>
      </c>
      <c r="E37" s="5" t="e">
        <f t="shared" si="0"/>
        <v>#DIV/0!</v>
      </c>
      <c r="F37" s="5">
        <f t="shared" si="1"/>
        <v>-2.52956</v>
      </c>
    </row>
    <row r="38" spans="1:7" ht="22.5" customHeight="1">
      <c r="A38" s="7">
        <v>1170105005</v>
      </c>
      <c r="B38" s="8" t="s">
        <v>15</v>
      </c>
      <c r="C38" s="9">
        <v>0</v>
      </c>
      <c r="D38" s="9">
        <v>-2.52956</v>
      </c>
      <c r="E38" s="9" t="e">
        <f t="shared" si="0"/>
        <v>#DIV/0!</v>
      </c>
      <c r="F38" s="9">
        <f t="shared" si="1"/>
        <v>-2.52956</v>
      </c>
    </row>
    <row r="39" spans="1:7" ht="43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44.25" customHeight="1">
      <c r="A40" s="3">
        <v>1000000000</v>
      </c>
      <c r="B40" s="4" t="s">
        <v>16</v>
      </c>
      <c r="C40" s="127">
        <f>SUM(C4,C25)</f>
        <v>3798.06</v>
      </c>
      <c r="D40" s="127">
        <f>D4+D25</f>
        <v>287.83762999999999</v>
      </c>
      <c r="E40" s="5">
        <f t="shared" si="0"/>
        <v>7.5785435195863142</v>
      </c>
      <c r="F40" s="5">
        <f t="shared" si="1"/>
        <v>-3510.22237</v>
      </c>
    </row>
    <row r="41" spans="1:7" s="6" customFormat="1" ht="20.25" customHeight="1">
      <c r="A41" s="3">
        <v>2000000000</v>
      </c>
      <c r="B41" s="4" t="s">
        <v>17</v>
      </c>
      <c r="C41" s="439">
        <f>C42+C43+C44+C46+C47+C45+C48</f>
        <v>6425.5779999999995</v>
      </c>
      <c r="D41" s="439">
        <f>D42+D43+D44+D46+D47+D45+D48</f>
        <v>673.22059999999999</v>
      </c>
      <c r="E41" s="5">
        <f t="shared" si="0"/>
        <v>10.477199093995901</v>
      </c>
      <c r="F41" s="5">
        <f t="shared" si="1"/>
        <v>-5752.3573999999999</v>
      </c>
      <c r="G41" s="19"/>
    </row>
    <row r="42" spans="1:7" ht="19.5" customHeight="1">
      <c r="A42" s="16">
        <v>2021000000</v>
      </c>
      <c r="B42" s="17" t="s">
        <v>18</v>
      </c>
      <c r="C42" s="440">
        <v>3283.9</v>
      </c>
      <c r="D42" s="441">
        <v>547.30799999999999</v>
      </c>
      <c r="E42" s="9">
        <f t="shared" si="0"/>
        <v>16.666402752824386</v>
      </c>
      <c r="F42" s="9">
        <f t="shared" si="1"/>
        <v>-2736.5920000000001</v>
      </c>
    </row>
    <row r="43" spans="1:7" ht="27.7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f>2037.6+918.9</f>
        <v>2956.5</v>
      </c>
      <c r="D44" s="10">
        <v>96.046000000000006</v>
      </c>
      <c r="E44" s="9">
        <f t="shared" si="0"/>
        <v>3.2486385929308303</v>
      </c>
      <c r="F44" s="9">
        <f t="shared" si="1"/>
        <v>-2860.4540000000002</v>
      </c>
    </row>
    <row r="45" spans="1:7" ht="23.25" customHeight="1">
      <c r="A45" s="16">
        <v>2022999910</v>
      </c>
      <c r="B45" s="18" t="s">
        <v>331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185.178</v>
      </c>
      <c r="D46" s="187">
        <v>29.866599999999998</v>
      </c>
      <c r="E46" s="9">
        <f t="shared" si="0"/>
        <v>16.128589789283822</v>
      </c>
      <c r="F46" s="9">
        <f t="shared" si="1"/>
        <v>-155.31139999999999</v>
      </c>
    </row>
    <row r="47" spans="1:7" ht="14.25" customHeight="1">
      <c r="A47" s="16">
        <v>2020400000</v>
      </c>
      <c r="B47" s="17" t="s">
        <v>21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332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8" ht="47.25" hidden="1">
      <c r="A49" s="16">
        <v>2020900000</v>
      </c>
      <c r="B49" s="18" t="s">
        <v>22</v>
      </c>
      <c r="C49" s="264"/>
      <c r="D49" s="263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62">
        <v>0</v>
      </c>
      <c r="D50" s="262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65">
        <v>0</v>
      </c>
      <c r="D51" s="262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5">
        <f>SUM(C40,C41,C51)</f>
        <v>10223.637999999999</v>
      </c>
      <c r="D52" s="464">
        <f>D40+D41</f>
        <v>961.05822999999998</v>
      </c>
      <c r="E52" s="5">
        <f t="shared" si="0"/>
        <v>9.4003546487072409</v>
      </c>
      <c r="F52" s="5">
        <f t="shared" si="1"/>
        <v>-9262.5797699999985</v>
      </c>
      <c r="G52" s="94"/>
      <c r="H52" s="94"/>
    </row>
    <row r="53" spans="1:8" s="6" customFormat="1">
      <c r="A53" s="3"/>
      <c r="B53" s="21" t="s">
        <v>306</v>
      </c>
      <c r="C53" s="5">
        <f>C52-C101</f>
        <v>0</v>
      </c>
      <c r="D53" s="5">
        <f>D52-D101</f>
        <v>-126.77266999999995</v>
      </c>
      <c r="E53" s="22"/>
      <c r="F53" s="22"/>
    </row>
    <row r="54" spans="1:8" ht="15.75" hidden="1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26</v>
      </c>
      <c r="C55" s="146" t="s">
        <v>402</v>
      </c>
      <c r="D55" s="147" t="s">
        <v>412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1818.443</v>
      </c>
      <c r="D57" s="102">
        <f>D58+D59+D60+D61+D62+D64+D63</f>
        <v>168.88846000000001</v>
      </c>
      <c r="E57" s="34">
        <f>SUM(D57/C57*100)</f>
        <v>9.2875311461508563</v>
      </c>
      <c r="F57" s="34">
        <f>SUM(D57-C57)</f>
        <v>-1649.5545400000001</v>
      </c>
    </row>
    <row r="58" spans="1:8" s="6" customFormat="1" ht="0.75" hidden="1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8">
        <v>1754.6</v>
      </c>
      <c r="D59" s="92">
        <v>168.88846000000001</v>
      </c>
      <c r="E59" s="38">
        <f t="shared" ref="E59:E101" si="3">SUM(D59/C59*100)</f>
        <v>9.6254679129146261</v>
      </c>
      <c r="F59" s="38">
        <f t="shared" ref="F59:F101" si="4">SUM(D59-C59)</f>
        <v>-1585.7115399999998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hidden="1" customHeight="1">
      <c r="A62" s="35" t="s">
        <v>37</v>
      </c>
      <c r="B62" s="39" t="s">
        <v>38</v>
      </c>
      <c r="C62" s="92">
        <v>53</v>
      </c>
      <c r="D62" s="92">
        <v>0</v>
      </c>
      <c r="E62" s="38">
        <f t="shared" si="3"/>
        <v>0</v>
      </c>
      <c r="F62" s="38">
        <f t="shared" si="4"/>
        <v>-53</v>
      </c>
    </row>
    <row r="63" spans="1:8" ht="18" customHeight="1">
      <c r="A63" s="35" t="s">
        <v>39</v>
      </c>
      <c r="B63" s="39" t="s">
        <v>40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92">
        <v>5.843</v>
      </c>
      <c r="D64" s="92">
        <v>0</v>
      </c>
      <c r="E64" s="38">
        <f t="shared" si="3"/>
        <v>0</v>
      </c>
      <c r="F64" s="38">
        <f t="shared" si="4"/>
        <v>-5.843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179.208</v>
      </c>
      <c r="D65" s="22">
        <f>D66</f>
        <v>19.79326</v>
      </c>
      <c r="E65" s="34">
        <f t="shared" si="3"/>
        <v>11.044852908352306</v>
      </c>
      <c r="F65" s="34">
        <f t="shared" si="4"/>
        <v>-159.41473999999999</v>
      </c>
    </row>
    <row r="66" spans="1:7">
      <c r="A66" s="43" t="s">
        <v>45</v>
      </c>
      <c r="B66" s="44" t="s">
        <v>46</v>
      </c>
      <c r="C66" s="92">
        <v>179.208</v>
      </c>
      <c r="D66" s="92">
        <v>19.79326</v>
      </c>
      <c r="E66" s="38">
        <f t="shared" si="3"/>
        <v>11.044852908352306</v>
      </c>
      <c r="F66" s="38">
        <f t="shared" si="4"/>
        <v>-159.41473999999999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8</v>
      </c>
      <c r="D67" s="22">
        <f>D70+D72+D71</f>
        <v>0</v>
      </c>
      <c r="E67" s="34">
        <f t="shared" si="3"/>
        <v>0</v>
      </c>
      <c r="F67" s="34">
        <f t="shared" si="4"/>
        <v>-8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339</v>
      </c>
      <c r="B71" s="47" t="s">
        <v>340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214</v>
      </c>
      <c r="B72" s="47" t="s">
        <v>215</v>
      </c>
      <c r="C72" s="92">
        <v>4</v>
      </c>
      <c r="D72" s="92">
        <v>0</v>
      </c>
      <c r="E72" s="38">
        <f t="shared" si="3"/>
        <v>0</v>
      </c>
      <c r="F72" s="38">
        <f t="shared" si="4"/>
        <v>-4</v>
      </c>
    </row>
    <row r="73" spans="1:7" s="6" customFormat="1" ht="17.25" customHeight="1">
      <c r="A73" s="436" t="s">
        <v>55</v>
      </c>
      <c r="B73" s="31" t="s">
        <v>56</v>
      </c>
      <c r="C73" s="105">
        <f>C75+C76+C77+C74</f>
        <v>3863.3759999999997</v>
      </c>
      <c r="D73" s="105">
        <f>SUM(D74:D77)</f>
        <v>283.03474999999997</v>
      </c>
      <c r="E73" s="34">
        <f t="shared" si="3"/>
        <v>7.3260989869999706</v>
      </c>
      <c r="F73" s="34">
        <f t="shared" si="4"/>
        <v>-3580.3412499999999</v>
      </c>
    </row>
    <row r="74" spans="1:7" ht="15.75" customHeight="1">
      <c r="A74" s="35" t="s">
        <v>57</v>
      </c>
      <c r="B74" s="39" t="s">
        <v>58</v>
      </c>
      <c r="C74" s="106">
        <v>14.316000000000001</v>
      </c>
      <c r="D74" s="92">
        <v>0</v>
      </c>
      <c r="E74" s="38">
        <f t="shared" si="3"/>
        <v>0</v>
      </c>
      <c r="F74" s="38">
        <f t="shared" si="4"/>
        <v>-14.316000000000001</v>
      </c>
    </row>
    <row r="75" spans="1:7" s="6" customFormat="1" ht="19.5" customHeight="1">
      <c r="A75" s="35" t="s">
        <v>59</v>
      </c>
      <c r="B75" s="39" t="s">
        <v>60</v>
      </c>
      <c r="C75" s="106">
        <v>153</v>
      </c>
      <c r="D75" s="92">
        <v>59.453749999999999</v>
      </c>
      <c r="E75" s="38">
        <f t="shared" si="3"/>
        <v>38.858660130718953</v>
      </c>
      <c r="F75" s="38">
        <f t="shared" si="4"/>
        <v>-93.546250000000001</v>
      </c>
      <c r="G75" s="50"/>
    </row>
    <row r="76" spans="1:7">
      <c r="A76" s="35" t="s">
        <v>61</v>
      </c>
      <c r="B76" s="39" t="s">
        <v>62</v>
      </c>
      <c r="C76" s="106">
        <v>3696.06</v>
      </c>
      <c r="D76" s="92">
        <v>223.58099999999999</v>
      </c>
      <c r="E76" s="38">
        <f t="shared" si="3"/>
        <v>6.0491712796870178</v>
      </c>
      <c r="F76" s="38">
        <f t="shared" si="4"/>
        <v>-3472.4789999999998</v>
      </c>
    </row>
    <row r="77" spans="1:7">
      <c r="A77" s="35" t="s">
        <v>63</v>
      </c>
      <c r="B77" s="39" t="s">
        <v>64</v>
      </c>
      <c r="C77" s="106">
        <v>0</v>
      </c>
      <c r="D77" s="92">
        <v>0</v>
      </c>
      <c r="E77" s="38" t="e">
        <f t="shared" si="3"/>
        <v>#DIV/0!</v>
      </c>
      <c r="F77" s="38">
        <f t="shared" si="4"/>
        <v>0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1088.7</v>
      </c>
      <c r="D78" s="22">
        <f>SUM(D79:D82)</f>
        <v>111.38188</v>
      </c>
      <c r="E78" s="34">
        <f t="shared" si="3"/>
        <v>10.230722880499679</v>
      </c>
      <c r="F78" s="34">
        <f t="shared" si="4"/>
        <v>-977.31812000000002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69</v>
      </c>
      <c r="B80" s="51" t="s">
        <v>70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71</v>
      </c>
      <c r="B81" s="39" t="s">
        <v>72</v>
      </c>
      <c r="C81" s="92">
        <v>1088.7</v>
      </c>
      <c r="D81" s="92">
        <v>111.38188</v>
      </c>
      <c r="E81" s="38">
        <f t="shared" si="3"/>
        <v>10.230722880499679</v>
      </c>
      <c r="F81" s="38">
        <f t="shared" si="4"/>
        <v>-977.31812000000002</v>
      </c>
    </row>
    <row r="82" spans="1:6" ht="18" hidden="1" customHeight="1">
      <c r="A82" s="35" t="s">
        <v>251</v>
      </c>
      <c r="B82" s="39" t="s">
        <v>252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3243.5</v>
      </c>
      <c r="D83" s="22">
        <f>D84+D85</f>
        <v>496.14755000000002</v>
      </c>
      <c r="E83" s="34">
        <f t="shared" si="3"/>
        <v>15.29667180514876</v>
      </c>
      <c r="F83" s="34">
        <f t="shared" si="4"/>
        <v>-2747.3524499999999</v>
      </c>
    </row>
    <row r="84" spans="1:6" ht="14.25" customHeight="1">
      <c r="A84" s="35" t="s">
        <v>85</v>
      </c>
      <c r="B84" s="39" t="s">
        <v>229</v>
      </c>
      <c r="C84" s="92">
        <v>3243.5</v>
      </c>
      <c r="D84" s="92">
        <v>496.14755000000002</v>
      </c>
      <c r="E84" s="38">
        <f t="shared" si="3"/>
        <v>15.29667180514876</v>
      </c>
      <c r="F84" s="38">
        <f t="shared" si="4"/>
        <v>-2747.3524499999999</v>
      </c>
    </row>
    <row r="85" spans="1:6" ht="14.25" hidden="1" customHeight="1">
      <c r="A85" s="35" t="s">
        <v>258</v>
      </c>
      <c r="B85" s="39" t="s">
        <v>259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88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89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0.75" hidden="1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22.411000000000001</v>
      </c>
      <c r="D91" s="22">
        <f>D92+D93+D94+D95+D96</f>
        <v>8.5850000000000009</v>
      </c>
      <c r="E91" s="34">
        <f t="shared" si="3"/>
        <v>38.307081343982865</v>
      </c>
      <c r="F91" s="22">
        <f>F92+F93+F94+F95+F96</f>
        <v>-13.826000000000001</v>
      </c>
    </row>
    <row r="92" spans="1:6" ht="15.75" customHeight="1">
      <c r="A92" s="35" t="s">
        <v>94</v>
      </c>
      <c r="B92" s="39" t="s">
        <v>95</v>
      </c>
      <c r="C92" s="92">
        <v>22.411000000000001</v>
      </c>
      <c r="D92" s="92">
        <v>8.5850000000000009</v>
      </c>
      <c r="E92" s="38">
        <f t="shared" si="3"/>
        <v>38.307081343982865</v>
      </c>
      <c r="F92" s="38">
        <f>SUM(D92-C92)</f>
        <v>-13.826000000000001</v>
      </c>
    </row>
    <row r="93" spans="1:6" ht="15" hidden="1" customHeight="1">
      <c r="A93" s="35" t="s">
        <v>96</v>
      </c>
      <c r="B93" s="39" t="s">
        <v>97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115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102">
        <f>C57+C65+C67+C73+C78+C83+C91+C86+C97</f>
        <v>10223.637999999999</v>
      </c>
      <c r="D101" s="102">
        <f>D57+D65+D67+D73+D78+D83+D91+D86+D97</f>
        <v>1087.8308999999999</v>
      </c>
      <c r="E101" s="34">
        <f t="shared" si="3"/>
        <v>10.640350333217979</v>
      </c>
      <c r="F101" s="34">
        <f t="shared" si="4"/>
        <v>-9135.8070999999982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3"/>
      <c r="D103" s="64"/>
    </row>
    <row r="104" spans="1:7" s="65" customFormat="1" ht="12.75">
      <c r="A104" s="66" t="s">
        <v>118</v>
      </c>
      <c r="B104" s="66"/>
      <c r="C104" s="133" t="s">
        <v>119</v>
      </c>
    </row>
    <row r="142" hidden="1"/>
  </sheetData>
  <customSheetViews>
    <customSheetView guid="{B30CE22D-C12F-4E12-8BB9-3AAE0A6991CC}" scale="70" showPageBreaks="1" fitToPage="1" printArea="1" hiddenRows="1" view="pageBreakPreview" topLeftCell="A48">
      <selection activeCell="C76" sqref="C76"/>
      <pageMargins left="0.74803149606299213" right="0.74803149606299213" top="0.98425196850393704" bottom="0.98425196850393704" header="0.51181102362204722" footer="0.51181102362204722"/>
      <pageSetup paperSize="9" scale="54" orientation="portrait" r:id="rId1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2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6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7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8"/>
      <headerFooter alignWithMargins="0"/>
    </customSheetView>
    <customSheetView guid="{61528DAC-5C4C-48F4-ADE2-8A724B05A086}" scale="70" showPageBreaks="1" printArea="1" hiddenRows="1" view="pageBreakPreview" topLeftCell="A38">
      <selection activeCell="D101" sqref="D101"/>
      <pageMargins left="0.74803149606299213" right="0.74803149606299213" top="0.98425196850393704" bottom="0.98425196850393704" header="0.51181102362204722" footer="0.51181102362204722"/>
      <pageSetup paperSize="9" scale="59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4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4"/>
  <sheetViews>
    <sheetView view="pageBreakPreview" topLeftCell="A48" zoomScale="70" zoomScaleNormal="100" zoomScaleSheetLayoutView="70" workbookViewId="0">
      <selection activeCell="D77" sqref="D7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414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1844.5900000000001</v>
      </c>
      <c r="D4" s="5">
        <f>D5+D12+D14+D17+D7</f>
        <v>199.38265000000001</v>
      </c>
      <c r="E4" s="5">
        <f>SUM(D4/C4*100)</f>
        <v>10.80904970752308</v>
      </c>
      <c r="F4" s="5">
        <f>SUM(D4-C4)</f>
        <v>-1645.2073500000001</v>
      </c>
    </row>
    <row r="5" spans="1:6" s="6" customFormat="1">
      <c r="A5" s="68">
        <v>1010000000</v>
      </c>
      <c r="B5" s="67" t="s">
        <v>5</v>
      </c>
      <c r="C5" s="5">
        <f>C6</f>
        <v>71.7</v>
      </c>
      <c r="D5" s="5">
        <f>D6</f>
        <v>9.1025399999999994</v>
      </c>
      <c r="E5" s="5">
        <f t="shared" ref="E5:E53" si="0">SUM(D5/C5*100)</f>
        <v>12.695313807531381</v>
      </c>
      <c r="F5" s="5">
        <f t="shared" ref="F5:F53" si="1">SUM(D5-C5)</f>
        <v>-62.597460000000005</v>
      </c>
    </row>
    <row r="6" spans="1:6">
      <c r="A6" s="7">
        <v>1010200001</v>
      </c>
      <c r="B6" s="8" t="s">
        <v>224</v>
      </c>
      <c r="C6" s="9">
        <v>71.7</v>
      </c>
      <c r="D6" s="10">
        <v>9.1025399999999994</v>
      </c>
      <c r="E6" s="9">
        <f t="shared" ref="E6:E11" si="2">SUM(D6/C6*100)</f>
        <v>12.695313807531381</v>
      </c>
      <c r="F6" s="9">
        <f t="shared" si="1"/>
        <v>-62.597460000000005</v>
      </c>
    </row>
    <row r="7" spans="1:6" ht="31.5">
      <c r="A7" s="3">
        <v>1030000000</v>
      </c>
      <c r="B7" s="13" t="s">
        <v>266</v>
      </c>
      <c r="C7" s="5">
        <f>C8+C10+C9</f>
        <v>698.89</v>
      </c>
      <c r="D7" s="5">
        <f>D8+D10+D9+D11</f>
        <v>109.80932000000001</v>
      </c>
      <c r="E7" s="9">
        <f t="shared" si="2"/>
        <v>15.711960394339597</v>
      </c>
      <c r="F7" s="9">
        <f t="shared" si="1"/>
        <v>-589.08068000000003</v>
      </c>
    </row>
    <row r="8" spans="1:6">
      <c r="A8" s="7">
        <v>1030223001</v>
      </c>
      <c r="B8" s="8" t="s">
        <v>268</v>
      </c>
      <c r="C8" s="9">
        <v>260.69</v>
      </c>
      <c r="D8" s="10">
        <v>48.967919999999999</v>
      </c>
      <c r="E8" s="9">
        <f t="shared" si="2"/>
        <v>18.783965629675091</v>
      </c>
      <c r="F8" s="9">
        <f t="shared" si="1"/>
        <v>-211.72208000000001</v>
      </c>
    </row>
    <row r="9" spans="1:6">
      <c r="A9" s="7">
        <v>1030224001</v>
      </c>
      <c r="B9" s="8" t="s">
        <v>274</v>
      </c>
      <c r="C9" s="9">
        <v>2.79</v>
      </c>
      <c r="D9" s="10">
        <v>0.30687999999999999</v>
      </c>
      <c r="E9" s="9">
        <f t="shared" si="2"/>
        <v>10.999283154121862</v>
      </c>
      <c r="F9" s="9">
        <f t="shared" si="1"/>
        <v>-2.48312</v>
      </c>
    </row>
    <row r="10" spans="1:6">
      <c r="A10" s="7">
        <v>1030225001</v>
      </c>
      <c r="B10" s="8" t="s">
        <v>267</v>
      </c>
      <c r="C10" s="9">
        <v>435.41</v>
      </c>
      <c r="D10" s="10">
        <v>70.094430000000003</v>
      </c>
      <c r="E10" s="9">
        <f t="shared" si="2"/>
        <v>16.098488780689465</v>
      </c>
      <c r="F10" s="9">
        <f t="shared" si="1"/>
        <v>-365.31557000000004</v>
      </c>
    </row>
    <row r="11" spans="1:6">
      <c r="A11" s="7">
        <v>1030226001</v>
      </c>
      <c r="B11" s="8" t="s">
        <v>276</v>
      </c>
      <c r="C11" s="9">
        <v>0</v>
      </c>
      <c r="D11" s="10">
        <v>-9.5599100000000004</v>
      </c>
      <c r="E11" s="9" t="e">
        <f t="shared" si="2"/>
        <v>#DIV/0!</v>
      </c>
      <c r="F11" s="9">
        <f t="shared" si="1"/>
        <v>-9.5599100000000004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1060</v>
      </c>
      <c r="D14" s="5">
        <f>D15+D16</f>
        <v>80.470789999999994</v>
      </c>
      <c r="E14" s="5">
        <f t="shared" si="0"/>
        <v>7.591583962264151</v>
      </c>
      <c r="F14" s="5">
        <f t="shared" si="1"/>
        <v>-979.52921000000003</v>
      </c>
    </row>
    <row r="15" spans="1:6" s="6" customFormat="1" ht="15.75" customHeight="1">
      <c r="A15" s="7">
        <v>1060100000</v>
      </c>
      <c r="B15" s="11" t="s">
        <v>8</v>
      </c>
      <c r="C15" s="9">
        <v>310</v>
      </c>
      <c r="D15" s="10">
        <v>32.598550000000003</v>
      </c>
      <c r="E15" s="9">
        <f t="shared" si="0"/>
        <v>10.515661290322582</v>
      </c>
      <c r="F15" s="9">
        <f>SUM(D15-C15)</f>
        <v>-277.40145000000001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47.872239999999998</v>
      </c>
      <c r="E16" s="9">
        <f t="shared" si="0"/>
        <v>6.3829653333333329</v>
      </c>
      <c r="F16" s="9">
        <f t="shared" si="1"/>
        <v>-702.12775999999997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</v>
      </c>
      <c r="E17" s="5">
        <f t="shared" si="0"/>
        <v>0</v>
      </c>
      <c r="F17" s="5">
        <f t="shared" si="1"/>
        <v>-4</v>
      </c>
    </row>
    <row r="18" spans="1:6" ht="21.75" customHeight="1">
      <c r="A18" s="7">
        <v>1080400001</v>
      </c>
      <c r="B18" s="8" t="s">
        <v>223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359.20000000000005</v>
      </c>
      <c r="D25" s="5">
        <f>D26+D30+D32+D38+D35</f>
        <v>47.714300000000001</v>
      </c>
      <c r="E25" s="5">
        <f t="shared" si="0"/>
        <v>13.283491091314028</v>
      </c>
      <c r="F25" s="5">
        <f t="shared" si="1"/>
        <v>-311.48570000000007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359.20000000000005</v>
      </c>
      <c r="D26" s="5">
        <f>D27+D28+D29</f>
        <v>47.714300000000001</v>
      </c>
      <c r="E26" s="5">
        <f t="shared" si="0"/>
        <v>13.283491091314028</v>
      </c>
      <c r="F26" s="5">
        <f t="shared" si="1"/>
        <v>-311.48570000000007</v>
      </c>
    </row>
    <row r="27" spans="1:6">
      <c r="A27" s="16">
        <v>1110501101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285</v>
      </c>
      <c r="C28" s="12">
        <v>328.6</v>
      </c>
      <c r="D28" s="10">
        <v>31.574000000000002</v>
      </c>
      <c r="E28" s="9">
        <f t="shared" si="0"/>
        <v>9.608642726719415</v>
      </c>
      <c r="F28" s="9">
        <f t="shared" si="1"/>
        <v>-297.02600000000001</v>
      </c>
    </row>
    <row r="29" spans="1:6" ht="18" customHeight="1">
      <c r="A29" s="7">
        <v>1110503505</v>
      </c>
      <c r="B29" s="11" t="s">
        <v>220</v>
      </c>
      <c r="C29" s="12">
        <v>30.6</v>
      </c>
      <c r="D29" s="10">
        <v>16.1403</v>
      </c>
      <c r="E29" s="9">
        <f t="shared" si="0"/>
        <v>52.746078431372545</v>
      </c>
      <c r="F29" s="9">
        <f t="shared" si="1"/>
        <v>-14.459700000000002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>
      <c r="A31" s="7">
        <v>1130206510</v>
      </c>
      <c r="B31" s="8" t="s">
        <v>14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7.25" customHeight="1">
      <c r="A32" s="70">
        <v>1140000000</v>
      </c>
      <c r="B32" s="71" t="s">
        <v>129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240</v>
      </c>
      <c r="C35" s="5">
        <f>C37+C36</f>
        <v>0</v>
      </c>
      <c r="D35" s="5">
        <f>D37+D36</f>
        <v>0</v>
      </c>
      <c r="E35" s="5" t="e">
        <f t="shared" si="0"/>
        <v>#DIV/0!</v>
      </c>
      <c r="F35" s="5">
        <f t="shared" si="1"/>
        <v>0</v>
      </c>
    </row>
    <row r="36" spans="1:7" ht="24.75" customHeight="1">
      <c r="A36" s="7">
        <v>1163305010</v>
      </c>
      <c r="B36" s="8" t="s">
        <v>401</v>
      </c>
      <c r="C36" s="9">
        <v>0</v>
      </c>
      <c r="D36" s="9">
        <v>0</v>
      </c>
      <c r="E36" s="9" t="e">
        <f>SUM(D36/C36*100)</f>
        <v>#DIV/0!</v>
      </c>
      <c r="F36" s="9">
        <f>SUM(D36-C36)</f>
        <v>0</v>
      </c>
    </row>
    <row r="37" spans="1:7" ht="30.75" customHeight="1">
      <c r="A37" s="7">
        <v>1169005010</v>
      </c>
      <c r="B37" s="8" t="s">
        <v>308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0.75" hidden="1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73" customFormat="1" ht="21.75" hidden="1" customHeight="1">
      <c r="A40" s="270">
        <v>1170505005</v>
      </c>
      <c r="B40" s="271" t="s">
        <v>216</v>
      </c>
      <c r="C40" s="148">
        <v>0</v>
      </c>
      <c r="D40" s="437">
        <v>0</v>
      </c>
      <c r="E40" s="272" t="e">
        <f t="shared" si="0"/>
        <v>#DIV/0!</v>
      </c>
      <c r="F40" s="272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7">
        <f>SUM(C4,C25)</f>
        <v>2203.79</v>
      </c>
      <c r="D41" s="127">
        <f>D4+D25</f>
        <v>247.09695000000002</v>
      </c>
      <c r="E41" s="5">
        <f t="shared" si="0"/>
        <v>11.212363700715587</v>
      </c>
      <c r="F41" s="5">
        <f t="shared" si="1"/>
        <v>-1956.6930499999999</v>
      </c>
    </row>
    <row r="42" spans="1:7" s="6" customFormat="1">
      <c r="A42" s="3">
        <v>2000000000</v>
      </c>
      <c r="B42" s="4" t="s">
        <v>17</v>
      </c>
      <c r="C42" s="5">
        <f>C43+C45+C47+C48+C49+C50+C44+C46+C52</f>
        <v>4546.6880000000001</v>
      </c>
      <c r="D42" s="5">
        <f>D43+D45+D47+D48+D49+D50+D44+D46+D52</f>
        <v>404.47460000000001</v>
      </c>
      <c r="E42" s="5">
        <f t="shared" si="0"/>
        <v>8.8960271740660453</v>
      </c>
      <c r="F42" s="5">
        <f t="shared" si="1"/>
        <v>-4142.2134000000005</v>
      </c>
      <c r="G42" s="19"/>
    </row>
    <row r="43" spans="1:7">
      <c r="A43" s="16">
        <v>2021000000</v>
      </c>
      <c r="B43" s="17" t="s">
        <v>18</v>
      </c>
      <c r="C43" s="438">
        <v>1706.8</v>
      </c>
      <c r="D43" s="20">
        <v>284.46199999999999</v>
      </c>
      <c r="E43" s="9">
        <f t="shared" si="0"/>
        <v>16.666393250527303</v>
      </c>
      <c r="F43" s="9">
        <f t="shared" si="1"/>
        <v>-1422.338</v>
      </c>
    </row>
    <row r="44" spans="1:7">
      <c r="A44" s="16">
        <v>2021500200</v>
      </c>
      <c r="B44" s="17" t="s">
        <v>227</v>
      </c>
      <c r="C44" s="12">
        <v>650</v>
      </c>
      <c r="D44" s="20">
        <v>0</v>
      </c>
      <c r="E44" s="9">
        <f t="shared" si="0"/>
        <v>0</v>
      </c>
      <c r="F44" s="9">
        <f t="shared" si="1"/>
        <v>-650</v>
      </c>
    </row>
    <row r="45" spans="1:7" ht="16.5" customHeight="1">
      <c r="A45" s="16">
        <v>2022000000</v>
      </c>
      <c r="B45" s="17" t="s">
        <v>19</v>
      </c>
      <c r="C45" s="12">
        <f>1097.19+912.3</f>
        <v>2009.49</v>
      </c>
      <c r="D45" s="10">
        <v>90.146000000000001</v>
      </c>
      <c r="E45" s="9">
        <f t="shared" si="0"/>
        <v>4.4860138642143035</v>
      </c>
      <c r="F45" s="9">
        <f t="shared" si="1"/>
        <v>-1919.3440000000001</v>
      </c>
    </row>
    <row r="46" spans="1:7">
      <c r="A46" s="16">
        <v>2022999910</v>
      </c>
      <c r="B46" s="18" t="s">
        <v>331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>
      <c r="A47" s="16">
        <v>2023000000</v>
      </c>
      <c r="B47" s="17" t="s">
        <v>20</v>
      </c>
      <c r="C47" s="12">
        <v>180.398</v>
      </c>
      <c r="D47" s="187">
        <v>29.866599999999998</v>
      </c>
      <c r="E47" s="9">
        <f>SUM(D47/C47*100)</f>
        <v>16.555948513841617</v>
      </c>
      <c r="F47" s="9">
        <f>SUM(D47-C47)</f>
        <v>-150.53139999999999</v>
      </c>
    </row>
    <row r="48" spans="1:7">
      <c r="A48" s="16">
        <v>2020400000</v>
      </c>
      <c r="B48" s="17" t="s">
        <v>21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47.25" hidden="1">
      <c r="A49" s="16">
        <v>2020700000</v>
      </c>
      <c r="B49" s="18" t="s">
        <v>22</v>
      </c>
      <c r="C49" s="12"/>
      <c r="D49" s="188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191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>
      <c r="A52" s="7">
        <v>2070500010</v>
      </c>
      <c r="B52" s="17" t="s">
        <v>338</v>
      </c>
      <c r="C52" s="12">
        <v>0</v>
      </c>
      <c r="D52" s="10">
        <v>0</v>
      </c>
      <c r="E52" s="9" t="e">
        <f t="shared" si="0"/>
        <v>#DIV/0!</v>
      </c>
      <c r="F52" s="9">
        <f t="shared" si="1"/>
        <v>0</v>
      </c>
    </row>
    <row r="53" spans="1:8" s="6" customFormat="1" ht="23.25" customHeight="1">
      <c r="A53" s="3"/>
      <c r="B53" s="4" t="s">
        <v>25</v>
      </c>
      <c r="C53" s="5">
        <f>C41+C42</f>
        <v>6750.4780000000001</v>
      </c>
      <c r="D53" s="465">
        <f>D41+D42</f>
        <v>651.57155</v>
      </c>
      <c r="E53" s="5">
        <f t="shared" si="0"/>
        <v>9.6522283310900345</v>
      </c>
      <c r="F53" s="5">
        <f t="shared" si="1"/>
        <v>-6098.9064500000004</v>
      </c>
      <c r="G53" s="94"/>
      <c r="H53" s="94"/>
    </row>
    <row r="54" spans="1:8" s="6" customFormat="1">
      <c r="A54" s="3"/>
      <c r="B54" s="21" t="s">
        <v>306</v>
      </c>
      <c r="C54" s="5">
        <f>C53-C102</f>
        <v>-120.89999999999964</v>
      </c>
      <c r="D54" s="5">
        <f>D53-D102</f>
        <v>-48.079959999999915</v>
      </c>
      <c r="E54" s="22"/>
      <c r="F54" s="22"/>
    </row>
    <row r="55" spans="1:8" ht="32.25" customHeight="1">
      <c r="A55" s="23"/>
      <c r="B55" s="24"/>
      <c r="C55" s="18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402</v>
      </c>
      <c r="D56" s="73" t="s">
        <v>411</v>
      </c>
      <c r="E56" s="72" t="s">
        <v>2</v>
      </c>
      <c r="F56" s="74" t="s">
        <v>3</v>
      </c>
    </row>
    <row r="57" spans="1:8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8" customHeight="1">
      <c r="A58" s="30" t="s">
        <v>27</v>
      </c>
      <c r="B58" s="31" t="s">
        <v>28</v>
      </c>
      <c r="C58" s="22">
        <f>C59+C60+C61+C62+C63+C65+C64</f>
        <v>1373.5740000000001</v>
      </c>
      <c r="D58" s="102">
        <f>D59+D60+D61+D62+D63+D65+D64</f>
        <v>161.51686000000001</v>
      </c>
      <c r="E58" s="34">
        <f>SUM(D58/C58*100)</f>
        <v>11.758875750414612</v>
      </c>
      <c r="F58" s="34">
        <f>SUM(D58-C58)</f>
        <v>-1212.0571400000001</v>
      </c>
    </row>
    <row r="59" spans="1:8" s="6" customFormat="1" ht="1.5" hidden="1" customHeight="1">
      <c r="A59" s="35" t="s">
        <v>29</v>
      </c>
      <c r="B59" s="36" t="s">
        <v>30</v>
      </c>
      <c r="C59" s="92">
        <v>0</v>
      </c>
      <c r="D59" s="92">
        <v>0</v>
      </c>
      <c r="E59" s="38" t="e">
        <f>SUM(D59/C59*100)</f>
        <v>#DIV/0!</v>
      </c>
      <c r="F59" s="38">
        <f>SUM(D59-C59)</f>
        <v>0</v>
      </c>
    </row>
    <row r="60" spans="1:8">
      <c r="A60" s="35" t="s">
        <v>31</v>
      </c>
      <c r="B60" s="39" t="s">
        <v>32</v>
      </c>
      <c r="C60" s="92">
        <v>1341.9</v>
      </c>
      <c r="D60" s="92">
        <v>161.51686000000001</v>
      </c>
      <c r="E60" s="38">
        <f t="shared" ref="E60:E102" si="3">SUM(D60/C60*100)</f>
        <v>12.036430434458604</v>
      </c>
      <c r="F60" s="38">
        <f t="shared" ref="F60:F102" si="4">SUM(D60-C60)</f>
        <v>-1180.3831400000001</v>
      </c>
    </row>
    <row r="61" spans="1:8" ht="16.5" hidden="1" customHeight="1">
      <c r="A61" s="35" t="s">
        <v>33</v>
      </c>
      <c r="B61" s="39" t="s">
        <v>34</v>
      </c>
      <c r="C61" s="92"/>
      <c r="D61" s="92"/>
      <c r="E61" s="38"/>
      <c r="F61" s="38">
        <f t="shared" si="4"/>
        <v>0</v>
      </c>
    </row>
    <row r="62" spans="1:8" ht="31.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hidden="1" customHeight="1">
      <c r="A63" s="35" t="s">
        <v>37</v>
      </c>
      <c r="B63" s="39" t="s">
        <v>38</v>
      </c>
      <c r="C63" s="92">
        <v>23</v>
      </c>
      <c r="D63" s="92">
        <v>0</v>
      </c>
      <c r="E63" s="38">
        <f t="shared" si="3"/>
        <v>0</v>
      </c>
      <c r="F63" s="38">
        <f t="shared" si="4"/>
        <v>-23</v>
      </c>
    </row>
    <row r="64" spans="1:8" ht="15.75" customHeight="1">
      <c r="A64" s="35" t="s">
        <v>39</v>
      </c>
      <c r="B64" s="39" t="s">
        <v>40</v>
      </c>
      <c r="C64" s="104">
        <v>5</v>
      </c>
      <c r="D64" s="104">
        <v>0</v>
      </c>
      <c r="E64" s="38">
        <f t="shared" si="3"/>
        <v>0</v>
      </c>
      <c r="F64" s="38">
        <f t="shared" si="4"/>
        <v>-5</v>
      </c>
    </row>
    <row r="65" spans="1:7" ht="14.25" customHeight="1">
      <c r="A65" s="35" t="s">
        <v>41</v>
      </c>
      <c r="B65" s="39" t="s">
        <v>42</v>
      </c>
      <c r="C65" s="92">
        <v>3.6739999999999999</v>
      </c>
      <c r="D65" s="92">
        <v>0</v>
      </c>
      <c r="E65" s="38">
        <f t="shared" si="3"/>
        <v>0</v>
      </c>
      <c r="F65" s="38">
        <f t="shared" si="4"/>
        <v>-3.6739999999999999</v>
      </c>
    </row>
    <row r="66" spans="1:7" s="6" customFormat="1">
      <c r="A66" s="41" t="s">
        <v>43</v>
      </c>
      <c r="B66" s="42" t="s">
        <v>44</v>
      </c>
      <c r="C66" s="22">
        <f>C67</f>
        <v>179.208</v>
      </c>
      <c r="D66" s="22">
        <f>D67</f>
        <v>19.79326</v>
      </c>
      <c r="E66" s="34">
        <f t="shared" si="3"/>
        <v>11.044852908352306</v>
      </c>
      <c r="F66" s="34">
        <f t="shared" si="4"/>
        <v>-159.41473999999999</v>
      </c>
    </row>
    <row r="67" spans="1:7" ht="15" customHeight="1">
      <c r="A67" s="43" t="s">
        <v>45</v>
      </c>
      <c r="B67" s="44" t="s">
        <v>46</v>
      </c>
      <c r="C67" s="92">
        <v>179.208</v>
      </c>
      <c r="D67" s="92">
        <v>19.79326</v>
      </c>
      <c r="E67" s="38">
        <f t="shared" si="3"/>
        <v>11.044852908352306</v>
      </c>
      <c r="F67" s="38">
        <f t="shared" si="4"/>
        <v>-159.41473999999999</v>
      </c>
    </row>
    <row r="68" spans="1:7" s="6" customFormat="1" ht="18" customHeight="1">
      <c r="A68" s="30" t="s">
        <v>47</v>
      </c>
      <c r="B68" s="31" t="s">
        <v>48</v>
      </c>
      <c r="C68" s="22">
        <f>C71+C72+C73</f>
        <v>6</v>
      </c>
      <c r="D68" s="22">
        <f>D71+D72+D73</f>
        <v>0</v>
      </c>
      <c r="E68" s="34">
        <f t="shared" si="3"/>
        <v>0</v>
      </c>
      <c r="F68" s="34">
        <f t="shared" si="4"/>
        <v>-6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8" hidden="1" customHeight="1">
      <c r="A70" s="45" t="s">
        <v>51</v>
      </c>
      <c r="B70" s="39" t="s">
        <v>52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2">
        <v>2</v>
      </c>
      <c r="D71" s="92">
        <v>0</v>
      </c>
      <c r="E71" s="34">
        <f t="shared" si="3"/>
        <v>0</v>
      </c>
      <c r="F71" s="34">
        <f t="shared" si="4"/>
        <v>-2</v>
      </c>
    </row>
    <row r="72" spans="1:7" ht="17.25" customHeight="1">
      <c r="A72" s="46" t="s">
        <v>214</v>
      </c>
      <c r="B72" s="47" t="s">
        <v>215</v>
      </c>
      <c r="C72" s="92">
        <v>2</v>
      </c>
      <c r="D72" s="92">
        <v>0</v>
      </c>
      <c r="E72" s="38">
        <f t="shared" si="3"/>
        <v>0</v>
      </c>
      <c r="F72" s="38">
        <f t="shared" si="4"/>
        <v>-2</v>
      </c>
    </row>
    <row r="73" spans="1:7" ht="17.25" customHeight="1">
      <c r="A73" s="46" t="s">
        <v>339</v>
      </c>
      <c r="B73" s="47" t="s">
        <v>390</v>
      </c>
      <c r="C73" s="92">
        <v>2</v>
      </c>
      <c r="D73" s="92">
        <v>0</v>
      </c>
      <c r="E73" s="38">
        <f>SUM(D73/C73*100)</f>
        <v>0</v>
      </c>
      <c r="F73" s="38">
        <f>SUM(D73-C73)</f>
        <v>-2</v>
      </c>
    </row>
    <row r="74" spans="1:7" s="6" customFormat="1" ht="19.5" customHeight="1">
      <c r="A74" s="30" t="s">
        <v>55</v>
      </c>
      <c r="B74" s="31" t="s">
        <v>56</v>
      </c>
      <c r="C74" s="105">
        <f>C76+C77+C78+C75</f>
        <v>2165.0429999999997</v>
      </c>
      <c r="D74" s="105">
        <f>SUM(D75:D78)</f>
        <v>163.49</v>
      </c>
      <c r="E74" s="34">
        <f t="shared" si="3"/>
        <v>7.5513511740875368</v>
      </c>
      <c r="F74" s="34">
        <f t="shared" si="4"/>
        <v>-2001.5529999999997</v>
      </c>
    </row>
    <row r="75" spans="1:7" ht="17.25" customHeight="1">
      <c r="A75" s="35" t="s">
        <v>57</v>
      </c>
      <c r="B75" s="39" t="s">
        <v>58</v>
      </c>
      <c r="C75" s="106">
        <v>2.863</v>
      </c>
      <c r="D75" s="92">
        <v>0</v>
      </c>
      <c r="E75" s="38">
        <f t="shared" si="3"/>
        <v>0</v>
      </c>
      <c r="F75" s="38">
        <f t="shared" si="4"/>
        <v>-2.863</v>
      </c>
    </row>
    <row r="76" spans="1:7" s="6" customFormat="1" ht="17.25" customHeight="1">
      <c r="A76" s="35" t="s">
        <v>59</v>
      </c>
      <c r="B76" s="39" t="s">
        <v>60</v>
      </c>
      <c r="C76" s="106">
        <v>42</v>
      </c>
      <c r="D76" s="92">
        <v>40</v>
      </c>
      <c r="E76" s="38">
        <f t="shared" si="3"/>
        <v>95.238095238095227</v>
      </c>
      <c r="F76" s="38">
        <f t="shared" si="4"/>
        <v>-2</v>
      </c>
      <c r="G76" s="50"/>
    </row>
    <row r="77" spans="1:7" ht="16.5" customHeight="1">
      <c r="A77" s="35" t="s">
        <v>61</v>
      </c>
      <c r="B77" s="39" t="s">
        <v>62</v>
      </c>
      <c r="C77" s="106">
        <v>1916.98</v>
      </c>
      <c r="D77" s="92">
        <v>107.24</v>
      </c>
      <c r="E77" s="38">
        <f t="shared" si="3"/>
        <v>5.5942159020960052</v>
      </c>
      <c r="F77" s="38">
        <f t="shared" si="4"/>
        <v>-1809.74</v>
      </c>
    </row>
    <row r="78" spans="1:7" ht="16.5" customHeight="1">
      <c r="A78" s="35" t="s">
        <v>63</v>
      </c>
      <c r="B78" s="39" t="s">
        <v>64</v>
      </c>
      <c r="C78" s="106">
        <v>203.2</v>
      </c>
      <c r="D78" s="92">
        <v>16.25</v>
      </c>
      <c r="E78" s="38">
        <f t="shared" si="3"/>
        <v>7.9970472440944889</v>
      </c>
      <c r="F78" s="38">
        <f t="shared" si="4"/>
        <v>-186.95</v>
      </c>
    </row>
    <row r="79" spans="1:7" ht="15.75" hidden="1" customHeight="1">
      <c r="A79" s="30" t="s">
        <v>47</v>
      </c>
      <c r="B79" s="31" t="s">
        <v>48</v>
      </c>
      <c r="C79" s="105">
        <v>0</v>
      </c>
      <c r="D79" s="92"/>
      <c r="E79" s="38"/>
      <c r="F79" s="38"/>
    </row>
    <row r="80" spans="1:7" ht="15.75" hidden="1" customHeight="1">
      <c r="A80" s="46" t="s">
        <v>214</v>
      </c>
      <c r="B80" s="47" t="s">
        <v>215</v>
      </c>
      <c r="C80" s="106">
        <v>0</v>
      </c>
      <c r="D80" s="92"/>
      <c r="E80" s="38"/>
      <c r="F80" s="38"/>
    </row>
    <row r="81" spans="1:6" s="6" customFormat="1" ht="19.5" customHeight="1">
      <c r="A81" s="30" t="s">
        <v>65</v>
      </c>
      <c r="B81" s="31" t="s">
        <v>66</v>
      </c>
      <c r="C81" s="22">
        <f>SUM(C82:C84)</f>
        <v>1560.3</v>
      </c>
      <c r="D81" s="22">
        <f>SUM(D82:D84)</f>
        <v>77.107420000000005</v>
      </c>
      <c r="E81" s="34">
        <f t="shared" si="3"/>
        <v>4.9418329808370185</v>
      </c>
      <c r="F81" s="34">
        <f t="shared" si="4"/>
        <v>-1483.1925799999999</v>
      </c>
    </row>
    <row r="82" spans="1:6" hidden="1">
      <c r="A82" s="35" t="s">
        <v>67</v>
      </c>
      <c r="B82" s="51" t="s">
        <v>68</v>
      </c>
      <c r="C82" s="92"/>
      <c r="D82" s="92"/>
      <c r="E82" s="38" t="e">
        <f t="shared" si="3"/>
        <v>#DIV/0!</v>
      </c>
      <c r="F82" s="38">
        <f t="shared" si="4"/>
        <v>0</v>
      </c>
    </row>
    <row r="83" spans="1:6">
      <c r="A83" s="35" t="s">
        <v>69</v>
      </c>
      <c r="B83" s="51" t="s">
        <v>70</v>
      </c>
      <c r="C83" s="92">
        <v>0</v>
      </c>
      <c r="D83" s="92">
        <v>0</v>
      </c>
      <c r="E83" s="38" t="e">
        <f t="shared" si="3"/>
        <v>#DIV/0!</v>
      </c>
      <c r="F83" s="38">
        <f t="shared" si="4"/>
        <v>0</v>
      </c>
    </row>
    <row r="84" spans="1:6" ht="18" customHeight="1">
      <c r="A84" s="35" t="s">
        <v>71</v>
      </c>
      <c r="B84" s="39" t="s">
        <v>72</v>
      </c>
      <c r="C84" s="92">
        <v>1560.3</v>
      </c>
      <c r="D84" s="92">
        <v>77.107420000000005</v>
      </c>
      <c r="E84" s="38">
        <f t="shared" si="3"/>
        <v>4.9418329808370185</v>
      </c>
      <c r="F84" s="38">
        <f t="shared" si="4"/>
        <v>-1483.1925799999999</v>
      </c>
    </row>
    <row r="85" spans="1:6" s="6" customFormat="1" ht="16.5" customHeight="1">
      <c r="A85" s="30" t="s">
        <v>83</v>
      </c>
      <c r="B85" s="31" t="s">
        <v>84</v>
      </c>
      <c r="C85" s="22">
        <f>C86</f>
        <v>1585.2529999999999</v>
      </c>
      <c r="D85" s="22">
        <f>SUM(D86)</f>
        <v>277.74396999999999</v>
      </c>
      <c r="E85" s="34">
        <f t="shared" si="3"/>
        <v>17.520482219557383</v>
      </c>
      <c r="F85" s="34">
        <f t="shared" si="4"/>
        <v>-1307.5090299999999</v>
      </c>
    </row>
    <row r="86" spans="1:6" ht="14.25" customHeight="1">
      <c r="A86" s="35" t="s">
        <v>85</v>
      </c>
      <c r="B86" s="39" t="s">
        <v>229</v>
      </c>
      <c r="C86" s="92">
        <v>1585.2529999999999</v>
      </c>
      <c r="D86" s="92">
        <v>277.74396999999999</v>
      </c>
      <c r="E86" s="38">
        <f t="shared" si="3"/>
        <v>17.520482219557383</v>
      </c>
      <c r="F86" s="38">
        <f t="shared" si="4"/>
        <v>-1307.5090299999999</v>
      </c>
    </row>
    <row r="87" spans="1:6" s="6" customFormat="1" ht="12" hidden="1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t="9" hidden="1" customHeight="1">
      <c r="A88" s="53">
        <v>1001</v>
      </c>
      <c r="B88" s="54" t="s">
        <v>87</v>
      </c>
      <c r="C88" s="92"/>
      <c r="D88" s="92"/>
      <c r="E88" s="38" t="e">
        <f t="shared" si="3"/>
        <v>#DIV/0!</v>
      </c>
      <c r="F88" s="38">
        <f t="shared" si="4"/>
        <v>0</v>
      </c>
    </row>
    <row r="89" spans="1:6" ht="12" hidden="1" customHeight="1">
      <c r="A89" s="53">
        <v>1003</v>
      </c>
      <c r="B89" s="54" t="s">
        <v>88</v>
      </c>
      <c r="C89" s="92">
        <v>0</v>
      </c>
      <c r="D89" s="92">
        <v>0</v>
      </c>
      <c r="E89" s="38" t="e">
        <f t="shared" si="3"/>
        <v>#DIV/0!</v>
      </c>
      <c r="F89" s="38">
        <f t="shared" si="4"/>
        <v>0</v>
      </c>
    </row>
    <row r="90" spans="1:6" ht="12.75" hidden="1" customHeight="1">
      <c r="A90" s="53">
        <v>1004</v>
      </c>
      <c r="B90" s="54" t="s">
        <v>89</v>
      </c>
      <c r="C90" s="92">
        <v>0</v>
      </c>
      <c r="D90" s="190">
        <v>0</v>
      </c>
      <c r="E90" s="38" t="e">
        <f t="shared" si="3"/>
        <v>#DIV/0!</v>
      </c>
      <c r="F90" s="38">
        <f t="shared" si="4"/>
        <v>0</v>
      </c>
    </row>
    <row r="91" spans="1:6" ht="19.5" hidden="1" customHeight="1">
      <c r="A91" s="35" t="s">
        <v>90</v>
      </c>
      <c r="B91" s="39" t="s">
        <v>91</v>
      </c>
      <c r="C91" s="92">
        <v>0</v>
      </c>
      <c r="D91" s="92">
        <v>0</v>
      </c>
      <c r="E91" s="38"/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2</v>
      </c>
      <c r="D92" s="22">
        <f>D93+D94+D95+D96+D97</f>
        <v>0</v>
      </c>
      <c r="E92" s="38">
        <f t="shared" si="3"/>
        <v>0</v>
      </c>
      <c r="F92" s="22">
        <f>F93+F94+F95+F96+F97</f>
        <v>-2</v>
      </c>
    </row>
    <row r="93" spans="1:6" ht="19.5" customHeight="1">
      <c r="A93" s="35" t="s">
        <v>94</v>
      </c>
      <c r="B93" s="39" t="s">
        <v>95</v>
      </c>
      <c r="C93" s="92">
        <v>2</v>
      </c>
      <c r="D93" s="92">
        <v>0</v>
      </c>
      <c r="E93" s="38">
        <f t="shared" si="3"/>
        <v>0</v>
      </c>
      <c r="F93" s="38">
        <f>SUM(D93-C93)</f>
        <v>-2</v>
      </c>
    </row>
    <row r="94" spans="1:6" ht="15" hidden="1" customHeight="1">
      <c r="A94" s="35" t="s">
        <v>96</v>
      </c>
      <c r="B94" s="39" t="s">
        <v>97</v>
      </c>
      <c r="C94" s="92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92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92"/>
      <c r="D96" s="92"/>
      <c r="E96" s="38" t="e">
        <f t="shared" si="3"/>
        <v>#DIV/0!</v>
      </c>
      <c r="F96" s="38"/>
    </row>
    <row r="97" spans="1:6" ht="57.75" hidden="1" customHeight="1">
      <c r="A97" s="35" t="s">
        <v>102</v>
      </c>
      <c r="B97" s="39" t="s">
        <v>103</v>
      </c>
      <c r="C97" s="92"/>
      <c r="D97" s="92"/>
      <c r="E97" s="38" t="e">
        <f t="shared" si="3"/>
        <v>#DIV/0!</v>
      </c>
      <c r="F97" s="38"/>
    </row>
    <row r="98" spans="1:6" s="6" customFormat="1" ht="15" hidden="1" customHeight="1">
      <c r="A98" s="52">
        <v>1400</v>
      </c>
      <c r="B98" s="56" t="s">
        <v>112</v>
      </c>
      <c r="C98" s="105">
        <f>C99+C100+C101</f>
        <v>0</v>
      </c>
      <c r="D98" s="105">
        <f>SUM(D99:D101)</f>
        <v>0</v>
      </c>
      <c r="E98" s="34" t="e">
        <f t="shared" si="3"/>
        <v>#DIV/0!</v>
      </c>
      <c r="F98" s="34">
        <f t="shared" si="4"/>
        <v>0</v>
      </c>
    </row>
    <row r="99" spans="1:6" ht="16.5" hidden="1" customHeight="1">
      <c r="A99" s="53">
        <v>1401</v>
      </c>
      <c r="B99" s="54" t="s">
        <v>113</v>
      </c>
      <c r="C99" s="9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1402</v>
      </c>
      <c r="B100" s="54" t="s">
        <v>114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13.5" hidden="1" customHeight="1">
      <c r="A101" s="53">
        <v>1403</v>
      </c>
      <c r="B101" s="54" t="s">
        <v>115</v>
      </c>
      <c r="C101" s="106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s="6" customFormat="1">
      <c r="A102" s="52"/>
      <c r="B102" s="57" t="s">
        <v>116</v>
      </c>
      <c r="C102" s="102">
        <f>C58+C66+C68+C74+C81+C85+C87+C92+C79</f>
        <v>6871.3779999999997</v>
      </c>
      <c r="D102" s="102">
        <f>D58+D66+D68+D74+D81+D85+D92+D87</f>
        <v>699.65150999999992</v>
      </c>
      <c r="E102" s="34">
        <f t="shared" si="3"/>
        <v>10.182113544037309</v>
      </c>
      <c r="F102" s="34">
        <f t="shared" si="4"/>
        <v>-6171.72649</v>
      </c>
    </row>
    <row r="103" spans="1:6" ht="5.25" customHeight="1">
      <c r="C103" s="120"/>
      <c r="D103" s="61"/>
    </row>
    <row r="104" spans="1:6" s="65" customFormat="1" ht="12.75">
      <c r="A104" s="63" t="s">
        <v>117</v>
      </c>
      <c r="B104" s="63"/>
      <c r="C104" s="116"/>
      <c r="D104" s="64"/>
    </row>
    <row r="105" spans="1:6" s="65" customFormat="1" ht="12.75">
      <c r="A105" s="66" t="s">
        <v>118</v>
      </c>
      <c r="B105" s="66"/>
      <c r="C105" s="65" t="s">
        <v>119</v>
      </c>
    </row>
    <row r="106" spans="1:6">
      <c r="C106" s="120"/>
    </row>
    <row r="144" hidden="1"/>
  </sheetData>
  <customSheetViews>
    <customSheetView guid="{B30CE22D-C12F-4E12-8BB9-3AAE0A6991CC}" scale="70" showPageBreaks="1" fitToPage="1" printArea="1" hiddenRows="1" view="pageBreakPreview" topLeftCell="A48">
      <selection activeCell="D77" sqref="D77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2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8"/>
    </customSheetView>
    <customSheetView guid="{61528DAC-5C4C-48F4-ADE2-8A724B05A086}" scale="70" showPageBreaks="1" fitToPage="1" printArea="1" hiddenRows="1" view="pageBreakPreview" topLeftCell="A42">
      <selection activeCell="C93" sqref="C93"/>
      <pageMargins left="0.70866141732283472" right="0.70866141732283472" top="0.74803149606299213" bottom="0.74803149606299213" header="0.31496062992125984" footer="0.31496062992125984"/>
      <pageSetup paperSize="9" scale="4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36" zoomScale="70" zoomScaleNormal="100" zoomScaleSheetLayoutView="70" workbookViewId="0">
      <selection activeCell="C97" activeCellId="1" sqref="C50:D50 C97:D97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16" t="s">
        <v>415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4428.79</v>
      </c>
      <c r="D4" s="194">
        <f>D5+D12+D14+D17+D20+D7</f>
        <v>414.43044999999995</v>
      </c>
      <c r="E4" s="5">
        <f>SUM(D4/C4*100)</f>
        <v>9.3576450904197284</v>
      </c>
      <c r="F4" s="5">
        <f>SUM(D4-C4)</f>
        <v>-4014.3595500000001</v>
      </c>
    </row>
    <row r="5" spans="1:6" s="6" customFormat="1">
      <c r="A5" s="68">
        <v>1010000000</v>
      </c>
      <c r="B5" s="67" t="s">
        <v>5</v>
      </c>
      <c r="C5" s="194">
        <f>C6</f>
        <v>484.2</v>
      </c>
      <c r="D5" s="194">
        <f>D6</f>
        <v>40.716430000000003</v>
      </c>
      <c r="E5" s="5">
        <f t="shared" ref="E5:E50" si="0">SUM(D5/C5*100)</f>
        <v>8.4090107393639002</v>
      </c>
      <c r="F5" s="5">
        <f t="shared" ref="F5:F50" si="1">SUM(D5-C5)</f>
        <v>-443.48356999999999</v>
      </c>
    </row>
    <row r="6" spans="1:6">
      <c r="A6" s="7">
        <v>1010200001</v>
      </c>
      <c r="B6" s="8" t="s">
        <v>224</v>
      </c>
      <c r="C6" s="221">
        <v>484.2</v>
      </c>
      <c r="D6" s="222">
        <v>40.716430000000003</v>
      </c>
      <c r="E6" s="9">
        <f t="shared" ref="E6:E11" si="2">SUM(D6/C6*100)</f>
        <v>8.4090107393639002</v>
      </c>
      <c r="F6" s="9">
        <f t="shared" si="1"/>
        <v>-443.48356999999999</v>
      </c>
    </row>
    <row r="7" spans="1:6" ht="31.5">
      <c r="A7" s="3">
        <v>1030000000</v>
      </c>
      <c r="B7" s="13" t="s">
        <v>266</v>
      </c>
      <c r="C7" s="194">
        <f>C8+C10+C9</f>
        <v>833.59</v>
      </c>
      <c r="D7" s="194">
        <f>D8+D10+D9+D11</f>
        <v>130.97256999999999</v>
      </c>
      <c r="E7" s="5">
        <f t="shared" si="2"/>
        <v>15.711869144303552</v>
      </c>
      <c r="F7" s="5">
        <f t="shared" si="1"/>
        <v>-702.61743000000001</v>
      </c>
    </row>
    <row r="8" spans="1:6">
      <c r="A8" s="7">
        <v>1030223001</v>
      </c>
      <c r="B8" s="8" t="s">
        <v>268</v>
      </c>
      <c r="C8" s="221">
        <v>310.93</v>
      </c>
      <c r="D8" s="222">
        <v>58.405349999999999</v>
      </c>
      <c r="E8" s="9">
        <f t="shared" si="2"/>
        <v>18.78408323416846</v>
      </c>
      <c r="F8" s="9">
        <f t="shared" si="1"/>
        <v>-252.52465000000001</v>
      </c>
    </row>
    <row r="9" spans="1:6">
      <c r="A9" s="7">
        <v>1030224001</v>
      </c>
      <c r="B9" s="8" t="s">
        <v>274</v>
      </c>
      <c r="C9" s="221">
        <v>3.33</v>
      </c>
      <c r="D9" s="222">
        <v>0.36601</v>
      </c>
      <c r="E9" s="9">
        <f t="shared" si="2"/>
        <v>10.991291291291292</v>
      </c>
      <c r="F9" s="9">
        <f t="shared" si="1"/>
        <v>-2.9639899999999999</v>
      </c>
    </row>
    <row r="10" spans="1:6">
      <c r="A10" s="7">
        <v>1030225001</v>
      </c>
      <c r="B10" s="8" t="s">
        <v>267</v>
      </c>
      <c r="C10" s="221">
        <v>519.33000000000004</v>
      </c>
      <c r="D10" s="222">
        <v>83.603539999999995</v>
      </c>
      <c r="E10" s="9">
        <f t="shared" si="2"/>
        <v>16.098345945737773</v>
      </c>
      <c r="F10" s="9">
        <f t="shared" si="1"/>
        <v>-435.72646000000003</v>
      </c>
    </row>
    <row r="11" spans="1:6">
      <c r="A11" s="7">
        <v>1030226001</v>
      </c>
      <c r="B11" s="8" t="s">
        <v>275</v>
      </c>
      <c r="C11" s="221">
        <v>0</v>
      </c>
      <c r="D11" s="220">
        <v>-11.402329999999999</v>
      </c>
      <c r="E11" s="9" t="e">
        <f t="shared" si="2"/>
        <v>#DIV/0!</v>
      </c>
      <c r="F11" s="9">
        <f t="shared" si="1"/>
        <v>-11.402329999999999</v>
      </c>
    </row>
    <row r="12" spans="1:6" s="6" customFormat="1">
      <c r="A12" s="68">
        <v>1050000000</v>
      </c>
      <c r="B12" s="67" t="s">
        <v>6</v>
      </c>
      <c r="C12" s="194">
        <f>SUM(C13:C13)</f>
        <v>60</v>
      </c>
      <c r="D12" s="194">
        <f>D13</f>
        <v>10.9533</v>
      </c>
      <c r="E12" s="5">
        <f t="shared" si="0"/>
        <v>18.255499999999998</v>
      </c>
      <c r="F12" s="5">
        <f t="shared" si="1"/>
        <v>-49.046700000000001</v>
      </c>
    </row>
    <row r="13" spans="1:6" ht="15.75" customHeight="1">
      <c r="A13" s="7">
        <v>1050300000</v>
      </c>
      <c r="B13" s="11" t="s">
        <v>225</v>
      </c>
      <c r="C13" s="223">
        <v>60</v>
      </c>
      <c r="D13" s="222">
        <v>10.9533</v>
      </c>
      <c r="E13" s="9">
        <f t="shared" si="0"/>
        <v>18.255499999999998</v>
      </c>
      <c r="F13" s="9">
        <f t="shared" si="1"/>
        <v>-49.046700000000001</v>
      </c>
    </row>
    <row r="14" spans="1:6" s="6" customFormat="1" ht="15.75" customHeight="1">
      <c r="A14" s="68">
        <v>1060000000</v>
      </c>
      <c r="B14" s="67" t="s">
        <v>133</v>
      </c>
      <c r="C14" s="194">
        <f>C15+C16</f>
        <v>3031</v>
      </c>
      <c r="D14" s="194">
        <f>D15+D16</f>
        <v>230.38815</v>
      </c>
      <c r="E14" s="5">
        <f t="shared" si="0"/>
        <v>7.6010607060376119</v>
      </c>
      <c r="F14" s="5">
        <f t="shared" si="1"/>
        <v>-2800.6118500000002</v>
      </c>
    </row>
    <row r="15" spans="1:6" s="6" customFormat="1" ht="15.75" customHeight="1">
      <c r="A15" s="7">
        <v>1060100000</v>
      </c>
      <c r="B15" s="11" t="s">
        <v>8</v>
      </c>
      <c r="C15" s="221">
        <v>340</v>
      </c>
      <c r="D15" s="222">
        <v>16.963100000000001</v>
      </c>
      <c r="E15" s="9">
        <f t="shared" si="0"/>
        <v>4.9891470588235292</v>
      </c>
      <c r="F15" s="9">
        <f>SUM(D15-C15)</f>
        <v>-323.0369</v>
      </c>
    </row>
    <row r="16" spans="1:6" ht="15.75" customHeight="1">
      <c r="A16" s="7">
        <v>1060600000</v>
      </c>
      <c r="B16" s="11" t="s">
        <v>7</v>
      </c>
      <c r="C16" s="221">
        <v>2691</v>
      </c>
      <c r="D16" s="222">
        <v>213.42505</v>
      </c>
      <c r="E16" s="9">
        <f t="shared" si="0"/>
        <v>7.9310683760683762</v>
      </c>
      <c r="F16" s="9">
        <f t="shared" si="1"/>
        <v>-2477.5749500000002</v>
      </c>
    </row>
    <row r="17" spans="1:6" s="6" customFormat="1">
      <c r="A17" s="3">
        <v>1080000000</v>
      </c>
      <c r="B17" s="4" t="s">
        <v>10</v>
      </c>
      <c r="C17" s="194">
        <f>C18</f>
        <v>20</v>
      </c>
      <c r="D17" s="194">
        <f>D18</f>
        <v>1.4</v>
      </c>
      <c r="E17" s="5">
        <f t="shared" si="0"/>
        <v>6.9999999999999991</v>
      </c>
      <c r="F17" s="5">
        <f t="shared" si="1"/>
        <v>-18.600000000000001</v>
      </c>
    </row>
    <row r="18" spans="1:6" ht="18" customHeight="1">
      <c r="A18" s="7">
        <v>1080400001</v>
      </c>
      <c r="B18" s="8" t="s">
        <v>223</v>
      </c>
      <c r="C18" s="221">
        <v>20</v>
      </c>
      <c r="D18" s="222">
        <v>1.4</v>
      </c>
      <c r="E18" s="9">
        <f t="shared" si="0"/>
        <v>6.9999999999999991</v>
      </c>
      <c r="F18" s="9">
        <f t="shared" si="1"/>
        <v>-18.600000000000001</v>
      </c>
    </row>
    <row r="19" spans="1:6" ht="47.25" hidden="1" customHeight="1">
      <c r="A19" s="7">
        <v>1080714001</v>
      </c>
      <c r="B19" s="8" t="s">
        <v>11</v>
      </c>
      <c r="C19" s="221"/>
      <c r="D19" s="22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4"/>
      <c r="D21" s="22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4"/>
      <c r="D22" s="22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4"/>
      <c r="D23" s="22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4"/>
      <c r="D24" s="22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127.5</v>
      </c>
      <c r="D25" s="93">
        <f>D26+D29+D31+D36+D34</f>
        <v>25.330850000000002</v>
      </c>
      <c r="E25" s="5">
        <f t="shared" si="0"/>
        <v>19.867333333333335</v>
      </c>
      <c r="F25" s="5">
        <f t="shared" si="1"/>
        <v>-102.16915</v>
      </c>
    </row>
    <row r="26" spans="1:6" s="6" customFormat="1" ht="30" customHeight="1">
      <c r="A26" s="68">
        <v>1110000000</v>
      </c>
      <c r="B26" s="69" t="s">
        <v>126</v>
      </c>
      <c r="C26" s="194">
        <f>C27+C28</f>
        <v>127.5</v>
      </c>
      <c r="D26" s="93">
        <f>D27+D28</f>
        <v>18.114000000000001</v>
      </c>
      <c r="E26" s="5">
        <f t="shared" si="0"/>
        <v>14.207058823529412</v>
      </c>
      <c r="F26" s="5">
        <f t="shared" si="1"/>
        <v>-109.386</v>
      </c>
    </row>
    <row r="27" spans="1:6" ht="15" customHeight="1">
      <c r="A27" s="16">
        <v>1110502510</v>
      </c>
      <c r="B27" s="17" t="s">
        <v>221</v>
      </c>
      <c r="C27" s="223">
        <v>115.5</v>
      </c>
      <c r="D27" s="220">
        <v>16.114000000000001</v>
      </c>
      <c r="E27" s="9">
        <f t="shared" si="0"/>
        <v>13.951515151515151</v>
      </c>
      <c r="F27" s="9">
        <f t="shared" si="1"/>
        <v>-99.385999999999996</v>
      </c>
    </row>
    <row r="28" spans="1:6" ht="15.75" customHeight="1">
      <c r="A28" s="7">
        <v>1110503505</v>
      </c>
      <c r="B28" s="11" t="s">
        <v>220</v>
      </c>
      <c r="C28" s="12">
        <v>12</v>
      </c>
      <c r="D28" s="10">
        <v>2</v>
      </c>
      <c r="E28" s="9">
        <f t="shared" si="0"/>
        <v>16.666666666666664</v>
      </c>
      <c r="F28" s="9">
        <f t="shared" si="1"/>
        <v>-10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7.21685</v>
      </c>
      <c r="E29" s="5" t="e">
        <f t="shared" si="0"/>
        <v>#DIV/0!</v>
      </c>
      <c r="F29" s="5">
        <f t="shared" si="1"/>
        <v>7.21685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7.21685</v>
      </c>
      <c r="E30" s="9" t="e">
        <f t="shared" si="0"/>
        <v>#DIV/0!</v>
      </c>
      <c r="F30" s="9">
        <f t="shared" si="1"/>
        <v>7.21685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216</v>
      </c>
      <c r="C38" s="221">
        <v>0</v>
      </c>
      <c r="D38" s="22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5">
        <f>SUM(C4,C25)</f>
        <v>4556.29</v>
      </c>
      <c r="D39" s="225">
        <f>D4+D25</f>
        <v>439.76129999999995</v>
      </c>
      <c r="E39" s="5">
        <f t="shared" si="0"/>
        <v>9.6517407803278541</v>
      </c>
      <c r="F39" s="5">
        <f t="shared" si="1"/>
        <v>-4116.5286999999998</v>
      </c>
    </row>
    <row r="40" spans="1:7" s="6" customFormat="1">
      <c r="A40" s="3">
        <v>2000000000</v>
      </c>
      <c r="B40" s="4" t="s">
        <v>17</v>
      </c>
      <c r="C40" s="194">
        <f>C41+C43+C45+C46+C47+C48+C42+C44</f>
        <v>3519.0679999999998</v>
      </c>
      <c r="D40" s="194">
        <f>D41+D43+D45+D46+D47+D48+D42+D44</f>
        <v>309.00060000000002</v>
      </c>
      <c r="E40" s="5">
        <f t="shared" si="0"/>
        <v>8.7807510397639383</v>
      </c>
      <c r="F40" s="5">
        <f t="shared" si="1"/>
        <v>-3210.0673999999999</v>
      </c>
      <c r="G40" s="19"/>
    </row>
    <row r="41" spans="1:7">
      <c r="A41" s="16">
        <v>2021000000</v>
      </c>
      <c r="B41" s="17" t="s">
        <v>18</v>
      </c>
      <c r="C41" s="226">
        <v>1196.5999999999999</v>
      </c>
      <c r="D41" s="227">
        <v>199.43</v>
      </c>
      <c r="E41" s="9">
        <f t="shared" si="0"/>
        <v>16.666388099615578</v>
      </c>
      <c r="F41" s="9">
        <f t="shared" si="1"/>
        <v>-997.16999999999985</v>
      </c>
    </row>
    <row r="42" spans="1:7" ht="17.25" customHeight="1">
      <c r="A42" s="16">
        <v>2021500200</v>
      </c>
      <c r="B42" s="17" t="s">
        <v>227</v>
      </c>
      <c r="C42" s="226">
        <v>0</v>
      </c>
      <c r="D42" s="22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6">
        <f>1250.88+888.2</f>
        <v>2139.08</v>
      </c>
      <c r="D43" s="222">
        <v>79.703999999999994</v>
      </c>
      <c r="E43" s="9">
        <f t="shared" si="0"/>
        <v>3.7260878508517679</v>
      </c>
      <c r="F43" s="9">
        <f t="shared" si="1"/>
        <v>-2059.3759999999997</v>
      </c>
    </row>
    <row r="44" spans="1:7" ht="15.75" customHeight="1">
      <c r="A44" s="16">
        <v>2022999910</v>
      </c>
      <c r="B44" s="18" t="s">
        <v>331</v>
      </c>
      <c r="C44" s="442">
        <v>0</v>
      </c>
      <c r="D44" s="443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3">
        <v>183.38800000000001</v>
      </c>
      <c r="D45" s="228">
        <v>29.866599999999998</v>
      </c>
      <c r="E45" s="9">
        <f t="shared" si="0"/>
        <v>16.286016533251903</v>
      </c>
      <c r="F45" s="9">
        <f t="shared" si="1"/>
        <v>-153.5214</v>
      </c>
    </row>
    <row r="46" spans="1:7" ht="17.25" customHeight="1">
      <c r="A46" s="16">
        <v>2020400000</v>
      </c>
      <c r="B46" s="17" t="s">
        <v>21</v>
      </c>
      <c r="C46" s="223"/>
      <c r="D46" s="229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338</v>
      </c>
      <c r="C47" s="223"/>
      <c r="D47" s="229">
        <v>0</v>
      </c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24"/>
      <c r="D48" s="224"/>
      <c r="E48" s="5"/>
      <c r="F48" s="5">
        <f>SUM(D48-C48)</f>
        <v>0</v>
      </c>
    </row>
    <row r="49" spans="1:8" s="6" customFormat="1" ht="19.5" hidden="1" customHeight="1">
      <c r="A49" s="3">
        <v>3000000000</v>
      </c>
      <c r="B49" s="13" t="s">
        <v>24</v>
      </c>
      <c r="C49" s="230">
        <v>0</v>
      </c>
      <c r="D49" s="22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466">
        <f>C39+C40</f>
        <v>8075.3580000000002</v>
      </c>
      <c r="D50" s="467">
        <f>D39+D40</f>
        <v>748.76189999999997</v>
      </c>
      <c r="E50" s="194">
        <f t="shared" si="0"/>
        <v>9.2721821125453499</v>
      </c>
      <c r="F50" s="93">
        <f t="shared" si="1"/>
        <v>-7326.5961000000007</v>
      </c>
      <c r="G50" s="151"/>
      <c r="H50" s="200"/>
    </row>
    <row r="51" spans="1:8" s="6" customFormat="1">
      <c r="A51" s="3"/>
      <c r="B51" s="21" t="s">
        <v>306</v>
      </c>
      <c r="C51" s="93">
        <f>C50-C97</f>
        <v>0</v>
      </c>
      <c r="D51" s="93">
        <f>D50-D97</f>
        <v>16.647579999999948</v>
      </c>
      <c r="E51" s="32"/>
      <c r="F51" s="32"/>
    </row>
    <row r="52" spans="1:8">
      <c r="A52" s="23"/>
      <c r="B52" s="24"/>
      <c r="C52" s="218"/>
      <c r="D52" s="218"/>
      <c r="E52" s="26"/>
      <c r="F52" s="27"/>
    </row>
    <row r="53" spans="1:8" ht="45.75" customHeight="1">
      <c r="A53" s="28" t="s">
        <v>0</v>
      </c>
      <c r="B53" s="28" t="s">
        <v>26</v>
      </c>
      <c r="C53" s="179" t="s">
        <v>402</v>
      </c>
      <c r="D53" s="180" t="s">
        <v>411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1690.934</v>
      </c>
      <c r="D55" s="32">
        <f>D56+D57+D58+D59+D60+D62+D61</f>
        <v>161.53971999999999</v>
      </c>
      <c r="E55" s="34">
        <f>SUM(D55/C55*100)</f>
        <v>9.5532835699087002</v>
      </c>
      <c r="F55" s="34">
        <f>SUM(D55-C55)</f>
        <v>-1529.39428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1637</v>
      </c>
      <c r="D57" s="37">
        <v>161.53971999999999</v>
      </c>
      <c r="E57" s="38">
        <f t="shared" ref="E57:E69" si="3">SUM(D57/C57*100)</f>
        <v>9.868034208918754</v>
      </c>
      <c r="F57" s="38">
        <f t="shared" ref="F57:F69" si="4">SUM(D57-C57)</f>
        <v>-1475.46028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44</v>
      </c>
      <c r="D60" s="37">
        <v>0</v>
      </c>
      <c r="E60" s="38">
        <f t="shared" si="3"/>
        <v>0</v>
      </c>
      <c r="F60" s="38">
        <f t="shared" si="4"/>
        <v>-44</v>
      </c>
    </row>
    <row r="61" spans="1:8" ht="17.25" customHeight="1">
      <c r="A61" s="35" t="s">
        <v>39</v>
      </c>
      <c r="B61" s="39" t="s">
        <v>40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41</v>
      </c>
      <c r="B62" s="39" t="s">
        <v>42</v>
      </c>
      <c r="C62" s="37">
        <v>4.9340000000000002</v>
      </c>
      <c r="D62" s="37">
        <v>0</v>
      </c>
      <c r="E62" s="38">
        <f t="shared" si="3"/>
        <v>0</v>
      </c>
      <c r="F62" s="38">
        <f t="shared" si="4"/>
        <v>-4.9340000000000002</v>
      </c>
    </row>
    <row r="63" spans="1:8" s="6" customFormat="1">
      <c r="A63" s="41" t="s">
        <v>43</v>
      </c>
      <c r="B63" s="42" t="s">
        <v>44</v>
      </c>
      <c r="C63" s="32">
        <f>C64</f>
        <v>179.208</v>
      </c>
      <c r="D63" s="32">
        <f>D64</f>
        <v>17.79326</v>
      </c>
      <c r="E63" s="34">
        <f t="shared" si="3"/>
        <v>9.9288313021740091</v>
      </c>
      <c r="F63" s="34">
        <f t="shared" si="4"/>
        <v>-161.41473999999999</v>
      </c>
    </row>
    <row r="64" spans="1:8">
      <c r="A64" s="43" t="s">
        <v>45</v>
      </c>
      <c r="B64" s="44" t="s">
        <v>46</v>
      </c>
      <c r="C64" s="37">
        <v>179.208</v>
      </c>
      <c r="D64" s="37">
        <v>17.79326</v>
      </c>
      <c r="E64" s="38">
        <f t="shared" si="3"/>
        <v>9.9288313021740091</v>
      </c>
      <c r="F64" s="38">
        <f t="shared" si="4"/>
        <v>-161.41473999999999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6</v>
      </c>
      <c r="D65" s="32">
        <f>SUM(D68+D69+D70)</f>
        <v>0</v>
      </c>
      <c r="E65" s="34">
        <f t="shared" si="3"/>
        <v>0</v>
      </c>
      <c r="F65" s="34">
        <f t="shared" si="4"/>
        <v>-6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1.6</v>
      </c>
      <c r="D68" s="37">
        <v>0</v>
      </c>
      <c r="E68" s="34">
        <f t="shared" si="3"/>
        <v>0</v>
      </c>
      <c r="F68" s="34">
        <f t="shared" si="4"/>
        <v>-1.6</v>
      </c>
    </row>
    <row r="69" spans="1:7" s="6" customFormat="1" ht="15.75" customHeight="1">
      <c r="A69" s="46" t="s">
        <v>214</v>
      </c>
      <c r="B69" s="47" t="s">
        <v>215</v>
      </c>
      <c r="C69" s="37">
        <v>2.4</v>
      </c>
      <c r="D69" s="37">
        <v>0</v>
      </c>
      <c r="E69" s="38">
        <f t="shared" si="3"/>
        <v>0</v>
      </c>
      <c r="F69" s="38">
        <f t="shared" si="4"/>
        <v>-2.4</v>
      </c>
    </row>
    <row r="70" spans="1:7" s="6" customFormat="1" ht="15.75" customHeight="1">
      <c r="A70" s="46" t="s">
        <v>339</v>
      </c>
      <c r="B70" s="47" t="s">
        <v>393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2199.491</v>
      </c>
      <c r="D71" s="48">
        <f>SUM(D72:D75)</f>
        <v>165.60649999999998</v>
      </c>
      <c r="E71" s="34">
        <f t="shared" ref="E71:E86" si="5">SUM(D71/C71*100)</f>
        <v>7.5293101904031419</v>
      </c>
      <c r="F71" s="34">
        <f t="shared" ref="F71:F86" si="6">SUM(D71-C71)</f>
        <v>-2033.8845000000001</v>
      </c>
    </row>
    <row r="72" spans="1:7" s="6" customFormat="1" ht="17.25" customHeight="1">
      <c r="A72" s="35" t="s">
        <v>57</v>
      </c>
      <c r="B72" s="39" t="s">
        <v>58</v>
      </c>
      <c r="C72" s="49">
        <v>10.021000000000001</v>
      </c>
      <c r="D72" s="37">
        <v>0</v>
      </c>
      <c r="E72" s="38">
        <f t="shared" si="5"/>
        <v>0</v>
      </c>
      <c r="F72" s="38">
        <f t="shared" si="6"/>
        <v>-10.021000000000001</v>
      </c>
      <c r="G72" s="50"/>
    </row>
    <row r="73" spans="1:7">
      <c r="A73" s="35" t="s">
        <v>59</v>
      </c>
      <c r="B73" s="39" t="s">
        <v>60</v>
      </c>
      <c r="C73" s="49">
        <v>55</v>
      </c>
      <c r="D73" s="37">
        <v>55</v>
      </c>
      <c r="E73" s="38">
        <f t="shared" si="5"/>
        <v>100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2084.4699999999998</v>
      </c>
      <c r="D74" s="37">
        <v>103.6065</v>
      </c>
      <c r="E74" s="38">
        <f t="shared" si="5"/>
        <v>4.9704001496783352</v>
      </c>
      <c r="F74" s="38">
        <f t="shared" si="6"/>
        <v>-1980.8634999999997</v>
      </c>
    </row>
    <row r="75" spans="1:7" s="6" customFormat="1">
      <c r="A75" s="35" t="s">
        <v>63</v>
      </c>
      <c r="B75" s="39" t="s">
        <v>64</v>
      </c>
      <c r="C75" s="49">
        <v>50</v>
      </c>
      <c r="D75" s="37">
        <v>7</v>
      </c>
      <c r="E75" s="38">
        <f t="shared" si="5"/>
        <v>14.000000000000002</v>
      </c>
      <c r="F75" s="38">
        <f t="shared" si="6"/>
        <v>-43</v>
      </c>
    </row>
    <row r="76" spans="1:7" ht="17.25" customHeight="1">
      <c r="A76" s="30" t="s">
        <v>65</v>
      </c>
      <c r="B76" s="31" t="s">
        <v>66</v>
      </c>
      <c r="C76" s="32">
        <f>SUM(C77:C79)</f>
        <v>2022.5250000000001</v>
      </c>
      <c r="D76" s="32">
        <f>SUM(D77:D79)</f>
        <v>87.174840000000003</v>
      </c>
      <c r="E76" s="34">
        <f t="shared" si="5"/>
        <v>4.3101983906255796</v>
      </c>
      <c r="F76" s="34">
        <f t="shared" si="6"/>
        <v>-1935.3501600000002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71</v>
      </c>
      <c r="B79" s="39" t="s">
        <v>72</v>
      </c>
      <c r="C79" s="37">
        <v>2022.5250000000001</v>
      </c>
      <c r="D79" s="37">
        <v>87.174840000000003</v>
      </c>
      <c r="E79" s="38">
        <f t="shared" si="5"/>
        <v>4.3101983906255796</v>
      </c>
      <c r="F79" s="38">
        <f t="shared" si="6"/>
        <v>-1935.3501600000002</v>
      </c>
    </row>
    <row r="80" spans="1:7">
      <c r="A80" s="30" t="s">
        <v>83</v>
      </c>
      <c r="B80" s="31" t="s">
        <v>84</v>
      </c>
      <c r="C80" s="32">
        <f>C81</f>
        <v>1975.2</v>
      </c>
      <c r="D80" s="32">
        <f>D81</f>
        <v>300</v>
      </c>
      <c r="E80" s="34">
        <f t="shared" si="5"/>
        <v>15.188335358444712</v>
      </c>
      <c r="F80" s="34">
        <f t="shared" si="6"/>
        <v>-1675.2</v>
      </c>
    </row>
    <row r="81" spans="1:6" s="6" customFormat="1" ht="15" customHeight="1">
      <c r="A81" s="35" t="s">
        <v>85</v>
      </c>
      <c r="B81" s="39" t="s">
        <v>229</v>
      </c>
      <c r="C81" s="37">
        <v>1975.2</v>
      </c>
      <c r="D81" s="37">
        <v>300</v>
      </c>
      <c r="E81" s="38">
        <f t="shared" si="5"/>
        <v>15.188335358444712</v>
      </c>
      <c r="F81" s="38">
        <f t="shared" si="6"/>
        <v>-1675.2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-2</v>
      </c>
    </row>
    <row r="88" spans="1:6" ht="15.75" customHeight="1">
      <c r="A88" s="35" t="s">
        <v>94</v>
      </c>
      <c r="B88" s="39" t="s">
        <v>95</v>
      </c>
      <c r="C88" s="37">
        <v>2</v>
      </c>
      <c r="D88" s="37">
        <v>0</v>
      </c>
      <c r="E88" s="38">
        <f t="shared" si="7"/>
        <v>0</v>
      </c>
      <c r="F88" s="38">
        <f>SUM(D88-C88)</f>
        <v>-2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466">
        <f>C55+C63+C65+C71+C76+C80+C82+C87+C93</f>
        <v>8075.3579999999993</v>
      </c>
      <c r="D97" s="466">
        <f>D55+D63+D65+D71+D76+D80+D82+D87+D93</f>
        <v>732.11432000000002</v>
      </c>
      <c r="E97" s="34">
        <f t="shared" si="7"/>
        <v>9.0660292707766033</v>
      </c>
      <c r="F97" s="34">
        <f>SUM(D97-C97)</f>
        <v>-7343.2436799999996</v>
      </c>
    </row>
    <row r="98" spans="1:6" s="65" customFormat="1" ht="22.5" customHeight="1">
      <c r="A98" s="63" t="s">
        <v>117</v>
      </c>
      <c r="B98" s="63"/>
      <c r="C98" s="185"/>
      <c r="D98" s="185"/>
    </row>
    <row r="99" spans="1:6" ht="16.5" customHeight="1">
      <c r="A99" s="66" t="s">
        <v>118</v>
      </c>
      <c r="B99" s="66"/>
      <c r="C99" s="185" t="s">
        <v>119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B30CE22D-C12F-4E12-8BB9-3AAE0A6991CC}" scale="70" showPageBreaks="1" hiddenRows="1" view="pageBreakPreview" topLeftCell="A36">
      <selection activeCell="C97" activeCellId="1" sqref="C50:D50 C97:D9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2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28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28" zoomScale="70" zoomScaleNormal="100" zoomScaleSheetLayoutView="70" workbookViewId="0">
      <selection activeCell="C98" sqref="C98:D98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6" t="s">
        <v>416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4882.71</v>
      </c>
      <c r="D4" s="5">
        <f>D5+D12+D14+D7+D20+D17</f>
        <v>593.43767000000003</v>
      </c>
      <c r="E4" s="5">
        <f>SUM(D4/C4*100)</f>
        <v>12.153858615400056</v>
      </c>
      <c r="F4" s="5">
        <f>SUM(D4-C4)</f>
        <v>-4289.2723299999998</v>
      </c>
    </row>
    <row r="5" spans="1:6" s="6" customFormat="1">
      <c r="A5" s="68">
        <v>1010000000</v>
      </c>
      <c r="B5" s="67" t="s">
        <v>5</v>
      </c>
      <c r="C5" s="5">
        <f>C6</f>
        <v>1917</v>
      </c>
      <c r="D5" s="5">
        <f>D6</f>
        <v>211.54826</v>
      </c>
      <c r="E5" s="5">
        <f t="shared" ref="E5:E51" si="0">SUM(D5/C5*100)</f>
        <v>11.035381324986959</v>
      </c>
      <c r="F5" s="5">
        <f t="shared" ref="F5:F51" si="1">SUM(D5-C5)</f>
        <v>-1705.45174</v>
      </c>
    </row>
    <row r="6" spans="1:6">
      <c r="A6" s="7">
        <v>1010200001</v>
      </c>
      <c r="B6" s="8" t="s">
        <v>224</v>
      </c>
      <c r="C6" s="91">
        <v>1917</v>
      </c>
      <c r="D6" s="10">
        <v>211.54826</v>
      </c>
      <c r="E6" s="9">
        <f t="shared" ref="E6:E11" si="2">SUM(D6/C6*100)</f>
        <v>11.035381324986959</v>
      </c>
      <c r="F6" s="9">
        <f t="shared" si="1"/>
        <v>-1705.45174</v>
      </c>
    </row>
    <row r="7" spans="1:6">
      <c r="A7" s="3">
        <v>1030200001</v>
      </c>
      <c r="B7" s="13" t="s">
        <v>264</v>
      </c>
      <c r="C7" s="5">
        <f>C8+C10+C9</f>
        <v>411.71</v>
      </c>
      <c r="D7" s="5">
        <f>D8+D9+D10+D11</f>
        <v>64.687669999999997</v>
      </c>
      <c r="E7" s="9">
        <f t="shared" si="2"/>
        <v>15.711950159092567</v>
      </c>
      <c r="F7" s="9">
        <f t="shared" si="1"/>
        <v>-347.02233000000001</v>
      </c>
    </row>
    <row r="8" spans="1:6">
      <c r="A8" s="7">
        <v>1030223001</v>
      </c>
      <c r="B8" s="8" t="s">
        <v>268</v>
      </c>
      <c r="C8" s="9">
        <v>153.57</v>
      </c>
      <c r="D8" s="10">
        <v>28.846530000000001</v>
      </c>
      <c r="E8" s="9">
        <f t="shared" si="2"/>
        <v>18.783961711271736</v>
      </c>
      <c r="F8" s="9">
        <f t="shared" si="1"/>
        <v>-124.72346999999999</v>
      </c>
    </row>
    <row r="9" spans="1:6">
      <c r="A9" s="7">
        <v>1030224001</v>
      </c>
      <c r="B9" s="8" t="s">
        <v>274</v>
      </c>
      <c r="C9" s="9">
        <v>1.64</v>
      </c>
      <c r="D9" s="10">
        <v>0.18078</v>
      </c>
      <c r="E9" s="9">
        <f t="shared" si="2"/>
        <v>11.023170731707317</v>
      </c>
      <c r="F9" s="9">
        <f t="shared" si="1"/>
        <v>-1.45922</v>
      </c>
    </row>
    <row r="10" spans="1:6">
      <c r="A10" s="7">
        <v>1030225001</v>
      </c>
      <c r="B10" s="8" t="s">
        <v>267</v>
      </c>
      <c r="C10" s="9">
        <v>256.5</v>
      </c>
      <c r="D10" s="10">
        <v>41.291980000000002</v>
      </c>
      <c r="E10" s="9">
        <f t="shared" si="2"/>
        <v>16.098237816764133</v>
      </c>
      <c r="F10" s="9">
        <f t="shared" si="1"/>
        <v>-215.20802</v>
      </c>
    </row>
    <row r="11" spans="1:6">
      <c r="A11" s="7">
        <v>1030226001</v>
      </c>
      <c r="B11" s="8" t="s">
        <v>276</v>
      </c>
      <c r="C11" s="9">
        <v>0</v>
      </c>
      <c r="D11" s="10">
        <v>-5.6316199999999998</v>
      </c>
      <c r="E11" s="9" t="e">
        <f t="shared" si="2"/>
        <v>#DIV/0!</v>
      </c>
      <c r="F11" s="9">
        <f t="shared" si="1"/>
        <v>-5.6316199999999998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0</v>
      </c>
      <c r="E12" s="5">
        <f t="shared" si="0"/>
        <v>0</v>
      </c>
      <c r="F12" s="5">
        <f t="shared" si="1"/>
        <v>-75</v>
      </c>
    </row>
    <row r="13" spans="1:6" ht="15.75" customHeight="1">
      <c r="A13" s="7">
        <v>1050300000</v>
      </c>
      <c r="B13" s="11" t="s">
        <v>225</v>
      </c>
      <c r="C13" s="12">
        <v>75</v>
      </c>
      <c r="D13" s="10">
        <v>0</v>
      </c>
      <c r="E13" s="9">
        <f t="shared" si="0"/>
        <v>0</v>
      </c>
      <c r="F13" s="9">
        <f t="shared" si="1"/>
        <v>-75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2479</v>
      </c>
      <c r="D14" s="5">
        <f>D15+D16</f>
        <v>317.20174000000003</v>
      </c>
      <c r="E14" s="5">
        <f t="shared" si="0"/>
        <v>12.795552238805971</v>
      </c>
      <c r="F14" s="5">
        <f t="shared" si="1"/>
        <v>-2161.79826</v>
      </c>
    </row>
    <row r="15" spans="1:6" s="6" customFormat="1" ht="15" customHeight="1">
      <c r="A15" s="7">
        <v>1060100000</v>
      </c>
      <c r="B15" s="11" t="s">
        <v>242</v>
      </c>
      <c r="C15" s="9">
        <v>980</v>
      </c>
      <c r="D15" s="10">
        <v>49.820329999999998</v>
      </c>
      <c r="E15" s="9">
        <f t="shared" si="0"/>
        <v>5.0837071428571425</v>
      </c>
      <c r="F15" s="9">
        <f>SUM(D15-C15)</f>
        <v>-930.17966999999999</v>
      </c>
    </row>
    <row r="16" spans="1:6" ht="17.25" customHeight="1">
      <c r="A16" s="7">
        <v>1060600000</v>
      </c>
      <c r="B16" s="11" t="s">
        <v>7</v>
      </c>
      <c r="C16" s="9">
        <v>1499</v>
      </c>
      <c r="D16" s="10">
        <v>267.38141000000002</v>
      </c>
      <c r="E16" s="9">
        <f t="shared" si="0"/>
        <v>17.837318879252837</v>
      </c>
      <c r="F16" s="9">
        <f t="shared" si="1"/>
        <v>-1231.61859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223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7">
        <f>SUM(C4,C25)</f>
        <v>4882.71</v>
      </c>
      <c r="D39" s="127">
        <f>D4+D25</f>
        <v>593.43767000000003</v>
      </c>
      <c r="E39" s="5">
        <f t="shared" si="0"/>
        <v>12.153858615400056</v>
      </c>
      <c r="F39" s="5">
        <f t="shared" si="1"/>
        <v>-4289.2723299999998</v>
      </c>
    </row>
    <row r="40" spans="1:7" s="6" customFormat="1">
      <c r="A40" s="3">
        <v>2000000000</v>
      </c>
      <c r="B40" s="4" t="s">
        <v>17</v>
      </c>
      <c r="C40" s="93">
        <f>C41+C43+C45+C46+C47+C49+C42+C44+C48</f>
        <v>15329.864009999998</v>
      </c>
      <c r="D40" s="93">
        <f>D41+D43+D45+D46+D47+D49+D42+D48</f>
        <v>1372.1464799999999</v>
      </c>
      <c r="E40" s="5">
        <f t="shared" si="0"/>
        <v>8.9508066027521149</v>
      </c>
      <c r="F40" s="5">
        <f t="shared" si="1"/>
        <v>-13957.717529999998</v>
      </c>
      <c r="G40" s="19"/>
    </row>
    <row r="41" spans="1:7" ht="17.25" customHeight="1">
      <c r="A41" s="16">
        <v>2021000000</v>
      </c>
      <c r="B41" s="17" t="s">
        <v>18</v>
      </c>
      <c r="C41" s="12">
        <v>5155.8</v>
      </c>
      <c r="D41" s="20">
        <v>859.28599999999994</v>
      </c>
      <c r="E41" s="9">
        <f t="shared" si="0"/>
        <v>16.666395127817214</v>
      </c>
      <c r="F41" s="9">
        <f t="shared" si="1"/>
        <v>-4296.5140000000001</v>
      </c>
    </row>
    <row r="42" spans="1:7" ht="15" customHeight="1">
      <c r="A42" s="16">
        <v>2021500210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93">
        <f>9320.3704+379.8</f>
        <v>9700.1703999999991</v>
      </c>
      <c r="D43" s="10">
        <v>38.918999999999997</v>
      </c>
      <c r="E43" s="9">
        <f t="shared" si="0"/>
        <v>0.40121975589212333</v>
      </c>
      <c r="F43" s="9">
        <f t="shared" si="1"/>
        <v>-9661.2513999999992</v>
      </c>
    </row>
    <row r="44" spans="1:7" ht="15" hidden="1" customHeight="1">
      <c r="A44" s="16">
        <v>2022999910</v>
      </c>
      <c r="B44" s="18" t="s">
        <v>331</v>
      </c>
      <c r="C44" s="19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11.71</v>
      </c>
      <c r="D45" s="187">
        <v>0</v>
      </c>
      <c r="E45" s="9">
        <f t="shared" si="0"/>
        <v>0</v>
      </c>
      <c r="F45" s="9">
        <f t="shared" si="1"/>
        <v>-11.71</v>
      </c>
    </row>
    <row r="46" spans="1:7" ht="24" customHeight="1">
      <c r="A46" s="16">
        <v>2020400000</v>
      </c>
      <c r="B46" s="17" t="s">
        <v>21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4.5" hidden="1" customHeight="1">
      <c r="A47" s="16">
        <v>2020900000</v>
      </c>
      <c r="B47" s="18" t="s">
        <v>22</v>
      </c>
      <c r="C47" s="12"/>
      <c r="D47" s="188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283</v>
      </c>
      <c r="C48" s="12">
        <v>462.18360999999999</v>
      </c>
      <c r="D48" s="188">
        <v>473.94148000000001</v>
      </c>
      <c r="E48" s="9">
        <f>SUM(D48/C48*100)</f>
        <v>102.54398246618915</v>
      </c>
      <c r="F48" s="9">
        <f>SUM(D48-C48)</f>
        <v>11.757870000000025</v>
      </c>
    </row>
    <row r="49" spans="1:7" hidden="1">
      <c r="A49" s="7">
        <v>2190500005</v>
      </c>
      <c r="B49" s="11" t="s">
        <v>23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24</v>
      </c>
      <c r="C50" s="19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93">
        <f>SUM(C39,C40,C50)</f>
        <v>20212.574009999997</v>
      </c>
      <c r="D51" s="467">
        <f>D39+D40</f>
        <v>1965.5841499999999</v>
      </c>
      <c r="E51" s="93">
        <f t="shared" si="0"/>
        <v>9.7245613004436944</v>
      </c>
      <c r="F51" s="93">
        <f t="shared" si="1"/>
        <v>-18246.989859999998</v>
      </c>
      <c r="G51" s="151">
        <f>18968.9976-D51</f>
        <v>17003.41345</v>
      </c>
    </row>
    <row r="52" spans="1:7" s="6" customFormat="1" ht="23.25" customHeight="1">
      <c r="A52" s="3"/>
      <c r="B52" s="21" t="s">
        <v>306</v>
      </c>
      <c r="C52" s="93">
        <f>C51-C98</f>
        <v>-112.35854000000108</v>
      </c>
      <c r="D52" s="93">
        <f>D51-D98</f>
        <v>554.19398000000001</v>
      </c>
      <c r="E52" s="195"/>
      <c r="F52" s="19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184" t="s">
        <v>402</v>
      </c>
      <c r="D54" s="73" t="s">
        <v>411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2086.0650000000001</v>
      </c>
      <c r="D56" s="33">
        <f>D57+D58+D59+D60+D61+D63+D62</f>
        <v>269.72325000000001</v>
      </c>
      <c r="E56" s="34">
        <f>SUM(D56/C56*100)</f>
        <v>12.929762495416011</v>
      </c>
      <c r="F56" s="34">
        <f>SUM(D56-C56)</f>
        <v>-1816.34175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1909.2</v>
      </c>
      <c r="D58" s="37">
        <v>262.72325000000001</v>
      </c>
      <c r="E58" s="38">
        <f t="shared" ref="E58:E98" si="3">SUM(D58/C58*100)</f>
        <v>13.760907710035616</v>
      </c>
      <c r="F58" s="38">
        <f t="shared" ref="F58:F98" si="4">SUM(D58-C58)</f>
        <v>-1646.47675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7">
        <v>90</v>
      </c>
      <c r="D61" s="37">
        <v>0</v>
      </c>
      <c r="E61" s="38">
        <f t="shared" si="3"/>
        <v>0</v>
      </c>
      <c r="F61" s="38">
        <f t="shared" si="4"/>
        <v>-90</v>
      </c>
    </row>
    <row r="62" spans="1:7" ht="18" customHeight="1">
      <c r="A62" s="35" t="s">
        <v>39</v>
      </c>
      <c r="B62" s="39" t="s">
        <v>40</v>
      </c>
      <c r="C62" s="149">
        <v>55</v>
      </c>
      <c r="D62" s="40">
        <v>0</v>
      </c>
      <c r="E62" s="38">
        <f t="shared" si="3"/>
        <v>0</v>
      </c>
      <c r="F62" s="38">
        <f t="shared" si="4"/>
        <v>-55</v>
      </c>
    </row>
    <row r="63" spans="1:7" ht="15.75" customHeight="1">
      <c r="A63" s="35" t="s">
        <v>41</v>
      </c>
      <c r="B63" s="39" t="s">
        <v>42</v>
      </c>
      <c r="C63" s="97">
        <v>31.864999999999998</v>
      </c>
      <c r="D63" s="37">
        <v>7</v>
      </c>
      <c r="E63" s="38">
        <f t="shared" si="3"/>
        <v>21.967676133689</v>
      </c>
      <c r="F63" s="38">
        <f t="shared" si="4"/>
        <v>-24.864999999999998</v>
      </c>
    </row>
    <row r="64" spans="1:7" s="6" customFormat="1" ht="15.75" hidden="1" customHeight="1">
      <c r="A64" s="41" t="s">
        <v>43</v>
      </c>
      <c r="B64" s="42" t="s">
        <v>44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50">
        <f>C69+C70+C71</f>
        <v>112</v>
      </c>
      <c r="D66" s="150">
        <f>SUM(D69+D70+D71)</f>
        <v>0</v>
      </c>
      <c r="E66" s="34">
        <f t="shared" si="3"/>
        <v>0</v>
      </c>
      <c r="F66" s="34">
        <f t="shared" si="4"/>
        <v>-112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10</v>
      </c>
      <c r="D69" s="37">
        <v>0</v>
      </c>
      <c r="E69" s="34">
        <f t="shared" si="3"/>
        <v>0</v>
      </c>
      <c r="F69" s="34">
        <f t="shared" si="4"/>
        <v>-10</v>
      </c>
    </row>
    <row r="70" spans="1:7" ht="17.25" customHeight="1">
      <c r="A70" s="46" t="s">
        <v>214</v>
      </c>
      <c r="B70" s="47" t="s">
        <v>215</v>
      </c>
      <c r="C70" s="97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339</v>
      </c>
      <c r="B71" s="47" t="s">
        <v>394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3272.50515</v>
      </c>
      <c r="D72" s="48">
        <f>SUM(D73:D76)</f>
        <v>255.50131999999999</v>
      </c>
      <c r="E72" s="34">
        <f t="shared" si="3"/>
        <v>7.8075146803053928</v>
      </c>
      <c r="F72" s="34">
        <f t="shared" si="4"/>
        <v>-3017.0038300000001</v>
      </c>
    </row>
    <row r="73" spans="1:7" ht="15" customHeight="1">
      <c r="A73" s="35" t="s">
        <v>57</v>
      </c>
      <c r="B73" s="39" t="s">
        <v>58</v>
      </c>
      <c r="C73" s="49">
        <v>28.632000000000001</v>
      </c>
      <c r="D73" s="37">
        <v>0</v>
      </c>
      <c r="E73" s="38">
        <f t="shared" si="3"/>
        <v>0</v>
      </c>
      <c r="F73" s="38">
        <f t="shared" si="4"/>
        <v>-28.632000000000001</v>
      </c>
    </row>
    <row r="74" spans="1:7" s="6" customFormat="1" ht="15.75" customHeight="1">
      <c r="A74" s="35" t="s">
        <v>59</v>
      </c>
      <c r="B74" s="39" t="s">
        <v>60</v>
      </c>
      <c r="C74" s="49">
        <v>400</v>
      </c>
      <c r="D74" s="37">
        <v>185.90031999999999</v>
      </c>
      <c r="E74" s="38">
        <f t="shared" si="3"/>
        <v>46.475079999999998</v>
      </c>
      <c r="F74" s="38">
        <f t="shared" si="4"/>
        <v>-214.09968000000001</v>
      </c>
      <c r="G74" s="50"/>
    </row>
    <row r="75" spans="1:7" ht="15" customHeight="1">
      <c r="A75" s="35" t="s">
        <v>61</v>
      </c>
      <c r="B75" s="39" t="s">
        <v>62</v>
      </c>
      <c r="C75" s="49">
        <v>2643.8731499999999</v>
      </c>
      <c r="D75" s="37">
        <v>69.600999999999999</v>
      </c>
      <c r="E75" s="38">
        <f t="shared" si="3"/>
        <v>2.6325393107456763</v>
      </c>
      <c r="F75" s="38">
        <f t="shared" si="4"/>
        <v>-2574.2721499999998</v>
      </c>
    </row>
    <row r="76" spans="1:7" ht="18" customHeight="1">
      <c r="A76" s="35" t="s">
        <v>63</v>
      </c>
      <c r="B76" s="39" t="s">
        <v>64</v>
      </c>
      <c r="C76" s="49">
        <v>200</v>
      </c>
      <c r="D76" s="37">
        <v>0</v>
      </c>
      <c r="E76" s="38">
        <f t="shared" si="3"/>
        <v>0</v>
      </c>
      <c r="F76" s="38">
        <f t="shared" si="4"/>
        <v>-200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10372.5494</v>
      </c>
      <c r="D77" s="32">
        <f>D78+D79+D80+D83</f>
        <v>143.2996</v>
      </c>
      <c r="E77" s="34">
        <f t="shared" si="3"/>
        <v>1.3815272839288673</v>
      </c>
      <c r="F77" s="34">
        <f t="shared" si="4"/>
        <v>-10229.2498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10372.5494</v>
      </c>
      <c r="D80" s="37">
        <v>143.2996</v>
      </c>
      <c r="E80" s="38">
        <f t="shared" si="3"/>
        <v>1.3815272839288673</v>
      </c>
      <c r="F80" s="38">
        <f t="shared" si="4"/>
        <v>-10229.2498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4457.2</v>
      </c>
      <c r="D81" s="32">
        <f>D82</f>
        <v>742.86599999999999</v>
      </c>
      <c r="E81" s="38">
        <f t="shared" si="3"/>
        <v>16.666651709593467</v>
      </c>
      <c r="F81" s="38">
        <f t="shared" si="4"/>
        <v>-3714.3339999999998</v>
      </c>
    </row>
    <row r="82" spans="1:6" ht="19.5" customHeight="1">
      <c r="A82" s="35" t="s">
        <v>85</v>
      </c>
      <c r="B82" s="39" t="s">
        <v>229</v>
      </c>
      <c r="C82" s="37">
        <v>4457.2</v>
      </c>
      <c r="D82" s="37">
        <v>742.86599999999999</v>
      </c>
      <c r="E82" s="38">
        <f t="shared" si="3"/>
        <v>16.666651709593467</v>
      </c>
      <c r="F82" s="38">
        <f t="shared" si="4"/>
        <v>-3714.3339999999998</v>
      </c>
    </row>
    <row r="83" spans="1:6" ht="15" hidden="1" customHeight="1">
      <c r="A83" s="35" t="s">
        <v>251</v>
      </c>
      <c r="B83" s="39" t="s">
        <v>252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24.613</v>
      </c>
      <c r="D89" s="32">
        <f>D90+D91+D92+D93+D94</f>
        <v>0</v>
      </c>
      <c r="E89" s="38">
        <f t="shared" si="3"/>
        <v>0</v>
      </c>
      <c r="F89" s="22">
        <f>F90+F91+F92+F93+F94</f>
        <v>-24.613</v>
      </c>
    </row>
    <row r="90" spans="1:6" ht="15.75" customHeight="1">
      <c r="A90" s="35" t="s">
        <v>94</v>
      </c>
      <c r="B90" s="39" t="s">
        <v>95</v>
      </c>
      <c r="C90" s="37">
        <v>24.613</v>
      </c>
      <c r="D90" s="37">
        <v>0</v>
      </c>
      <c r="E90" s="38">
        <f t="shared" si="3"/>
        <v>0</v>
      </c>
      <c r="F90" s="38">
        <f>SUM(D90-C90)</f>
        <v>-24.613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5"/>
      <c r="D96" s="176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466">
        <f>C56+C72+C77+C84+C89+C95+C66+C81</f>
        <v>20324.932549999998</v>
      </c>
      <c r="D98" s="466">
        <f>SUM(D56+D66+D72+D77+D81+D89)</f>
        <v>1411.3901699999999</v>
      </c>
      <c r="E98" s="34">
        <f t="shared" si="3"/>
        <v>6.9441321221014336</v>
      </c>
      <c r="F98" s="34">
        <f t="shared" si="4"/>
        <v>-18913.542379999999</v>
      </c>
      <c r="G98" s="200"/>
    </row>
    <row r="99" spans="1:7" ht="20.25" customHeight="1">
      <c r="D99" s="181"/>
    </row>
    <row r="100" spans="1:7" s="65" customFormat="1" ht="13.5" customHeight="1">
      <c r="A100" s="63" t="s">
        <v>117</v>
      </c>
      <c r="B100" s="63"/>
      <c r="C100" s="119"/>
      <c r="D100" s="64"/>
    </row>
    <row r="101" spans="1:7" s="65" customFormat="1" ht="12.75">
      <c r="A101" s="66" t="s">
        <v>118</v>
      </c>
      <c r="B101" s="66"/>
      <c r="C101" s="134" t="s">
        <v>119</v>
      </c>
      <c r="D101" s="134"/>
    </row>
    <row r="102" spans="1:7" ht="5.25" customHeight="1"/>
    <row r="142" hidden="1"/>
  </sheetData>
  <customSheetViews>
    <customSheetView guid="{B30CE22D-C12F-4E12-8BB9-3AAE0A6991CC}" scale="70" showPageBreaks="1" printArea="1" hiddenRows="1" view="pageBreakPreview" topLeftCell="A28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2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8"/>
    </customSheetView>
    <customSheetView guid="{61528DAC-5C4C-48F4-ADE2-8A724B05A086}" scale="70" showPageBreaks="1" printArea="1" hiddenRows="1" view="pageBreakPreview" topLeftCell="A34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43" zoomScale="70" zoomScaleNormal="100" zoomScaleSheetLayoutView="86" workbookViewId="0">
      <selection activeCell="C52" sqref="C52:D52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16" t="s">
        <v>417</v>
      </c>
      <c r="B1" s="516"/>
      <c r="C1" s="516"/>
      <c r="D1" s="516"/>
      <c r="E1" s="516"/>
      <c r="F1" s="516"/>
    </row>
    <row r="2" spans="1:6">
      <c r="A2" s="516"/>
      <c r="B2" s="516"/>
      <c r="C2" s="516"/>
      <c r="D2" s="516"/>
      <c r="E2" s="516"/>
      <c r="F2" s="516"/>
    </row>
    <row r="3" spans="1:6" ht="63">
      <c r="A3" s="2" t="s">
        <v>0</v>
      </c>
      <c r="B3" s="2" t="s">
        <v>1</v>
      </c>
      <c r="C3" s="72" t="s">
        <v>402</v>
      </c>
      <c r="D3" s="73" t="s">
        <v>410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5018.6900000000005</v>
      </c>
      <c r="D4" s="5">
        <f>D5+D12+D14+D17+D20+D7</f>
        <v>964.59620999999993</v>
      </c>
      <c r="E4" s="5">
        <f>SUM(D4/C4*100)</f>
        <v>19.220079542669499</v>
      </c>
      <c r="F4" s="5">
        <f>SUM(D4-C4)</f>
        <v>-4054.0937900000008</v>
      </c>
    </row>
    <row r="5" spans="1:6" s="6" customFormat="1">
      <c r="A5" s="68">
        <v>1010000000</v>
      </c>
      <c r="B5" s="67" t="s">
        <v>5</v>
      </c>
      <c r="C5" s="5">
        <f>C6</f>
        <v>1607.1</v>
      </c>
      <c r="D5" s="5">
        <f>D6</f>
        <v>301.89855999999997</v>
      </c>
      <c r="E5" s="5">
        <f t="shared" ref="E5:E52" si="0">SUM(D5/C5*100)</f>
        <v>18.785300230228362</v>
      </c>
      <c r="F5" s="5">
        <f t="shared" ref="F5:F52" si="1">SUM(D5-C5)</f>
        <v>-1305.2014399999998</v>
      </c>
    </row>
    <row r="6" spans="1:6">
      <c r="A6" s="7">
        <v>1010200001</v>
      </c>
      <c r="B6" s="8" t="s">
        <v>224</v>
      </c>
      <c r="C6" s="9">
        <v>1607.1</v>
      </c>
      <c r="D6" s="10">
        <v>301.89855999999997</v>
      </c>
      <c r="E6" s="9">
        <f t="shared" ref="E6:E11" si="2">SUM(D6/C6*100)</f>
        <v>18.785300230228362</v>
      </c>
      <c r="F6" s="9">
        <f t="shared" si="1"/>
        <v>-1305.2014399999998</v>
      </c>
    </row>
    <row r="7" spans="1:6" ht="31.5">
      <c r="A7" s="3">
        <v>1030000000</v>
      </c>
      <c r="B7" s="13" t="s">
        <v>266</v>
      </c>
      <c r="C7" s="5">
        <f>C8+C10+C9</f>
        <v>772.59</v>
      </c>
      <c r="D7" s="5">
        <f>D8+D10+D9+D11</f>
        <v>121.38920999999999</v>
      </c>
      <c r="E7" s="9">
        <f t="shared" si="2"/>
        <v>15.711983069933599</v>
      </c>
      <c r="F7" s="9">
        <f t="shared" si="1"/>
        <v>-651.2007900000001</v>
      </c>
    </row>
    <row r="8" spans="1:6">
      <c r="A8" s="7">
        <v>1030223001</v>
      </c>
      <c r="B8" s="8" t="s">
        <v>268</v>
      </c>
      <c r="C8" s="9">
        <v>288.18</v>
      </c>
      <c r="D8" s="10">
        <v>54.131819999999998</v>
      </c>
      <c r="E8" s="9">
        <f t="shared" si="2"/>
        <v>18.784030814074534</v>
      </c>
      <c r="F8" s="9">
        <f t="shared" si="1"/>
        <v>-234.04818</v>
      </c>
    </row>
    <row r="9" spans="1:6">
      <c r="A9" s="7">
        <v>1030224001</v>
      </c>
      <c r="B9" s="8" t="s">
        <v>274</v>
      </c>
      <c r="C9" s="9">
        <v>3.09</v>
      </c>
      <c r="D9" s="10">
        <v>0.33922999999999998</v>
      </c>
      <c r="E9" s="9">
        <f t="shared" si="2"/>
        <v>10.978317152103561</v>
      </c>
      <c r="F9" s="9">
        <f t="shared" si="1"/>
        <v>-2.7507699999999997</v>
      </c>
    </row>
    <row r="10" spans="1:6">
      <c r="A10" s="7">
        <v>1030225001</v>
      </c>
      <c r="B10" s="8" t="s">
        <v>267</v>
      </c>
      <c r="C10" s="9">
        <v>481.32</v>
      </c>
      <c r="D10" s="10">
        <v>77.48621</v>
      </c>
      <c r="E10" s="9">
        <f t="shared" si="2"/>
        <v>16.098689021856561</v>
      </c>
      <c r="F10" s="9">
        <f t="shared" si="1"/>
        <v>-403.83379000000002</v>
      </c>
    </row>
    <row r="11" spans="1:6">
      <c r="A11" s="7">
        <v>1030226001</v>
      </c>
      <c r="B11" s="8" t="s">
        <v>277</v>
      </c>
      <c r="C11" s="9">
        <v>0</v>
      </c>
      <c r="D11" s="10">
        <v>-10.568049999999999</v>
      </c>
      <c r="E11" s="9" t="e">
        <f t="shared" si="2"/>
        <v>#DIV/0!</v>
      </c>
      <c r="F11" s="9">
        <f t="shared" si="1"/>
        <v>-10.568049999999999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7.1999999999999995E-2</v>
      </c>
      <c r="E12" s="5">
        <f t="shared" si="0"/>
        <v>0.24</v>
      </c>
      <c r="F12" s="5">
        <f t="shared" si="1"/>
        <v>-29.928000000000001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7.1999999999999995E-2</v>
      </c>
      <c r="E13" s="9">
        <f t="shared" si="0"/>
        <v>0.24</v>
      </c>
      <c r="F13" s="9">
        <f t="shared" si="1"/>
        <v>-29.928000000000001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2601</v>
      </c>
      <c r="D14" s="5">
        <f>D15+D16</f>
        <v>540.83644000000004</v>
      </c>
      <c r="E14" s="5">
        <f t="shared" si="0"/>
        <v>20.793404075355635</v>
      </c>
      <c r="F14" s="5">
        <f t="shared" si="1"/>
        <v>-2060.16356</v>
      </c>
    </row>
    <row r="15" spans="1:6" s="6" customFormat="1" ht="15.75" customHeight="1">
      <c r="A15" s="7">
        <v>1060100000</v>
      </c>
      <c r="B15" s="11" t="s">
        <v>8</v>
      </c>
      <c r="C15" s="9">
        <v>450</v>
      </c>
      <c r="D15" s="10">
        <v>342.21944999999999</v>
      </c>
      <c r="E15" s="9">
        <f t="shared" si="0"/>
        <v>76.048766666666666</v>
      </c>
      <c r="F15" s="9">
        <f>SUM(D15-C15)</f>
        <v>-107.78055000000001</v>
      </c>
    </row>
    <row r="16" spans="1:6" ht="15.75" customHeight="1">
      <c r="A16" s="7">
        <v>1060600000</v>
      </c>
      <c r="B16" s="11" t="s">
        <v>7</v>
      </c>
      <c r="C16" s="9">
        <v>2151</v>
      </c>
      <c r="D16" s="10">
        <v>198.61698999999999</v>
      </c>
      <c r="E16" s="9">
        <f t="shared" si="0"/>
        <v>9.2337047884704795</v>
      </c>
      <c r="F16" s="9">
        <f t="shared" si="1"/>
        <v>-1952.38301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0.4</v>
      </c>
      <c r="E17" s="5">
        <f t="shared" si="0"/>
        <v>5</v>
      </c>
      <c r="F17" s="5">
        <f t="shared" si="1"/>
        <v>-7.6</v>
      </c>
    </row>
    <row r="18" spans="1:6" ht="15" customHeight="1">
      <c r="A18" s="7">
        <v>1080400001</v>
      </c>
      <c r="B18" s="8" t="s">
        <v>223</v>
      </c>
      <c r="C18" s="9">
        <v>8</v>
      </c>
      <c r="D18" s="10">
        <v>0.4</v>
      </c>
      <c r="E18" s="9">
        <f t="shared" si="0"/>
        <v>5</v>
      </c>
      <c r="F18" s="9">
        <f t="shared" si="1"/>
        <v>-7.6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1.78</v>
      </c>
      <c r="E26" s="5" t="e">
        <f t="shared" si="0"/>
        <v>#DIV/0!</v>
      </c>
      <c r="F26" s="5">
        <f t="shared" si="1"/>
        <v>1.78</v>
      </c>
    </row>
    <row r="27" spans="1:6">
      <c r="A27" s="16">
        <v>1110501101</v>
      </c>
      <c r="B27" s="17" t="s">
        <v>221</v>
      </c>
      <c r="C27" s="12">
        <v>0</v>
      </c>
      <c r="D27" s="10">
        <v>1.78</v>
      </c>
      <c r="E27" s="9" t="e">
        <f t="shared" si="0"/>
        <v>#DIV/0!</v>
      </c>
      <c r="F27" s="9">
        <f t="shared" si="1"/>
        <v>1.78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-1.78</v>
      </c>
      <c r="E36" s="5" t="e">
        <f t="shared" si="0"/>
        <v>#DIV/0!</v>
      </c>
      <c r="F36" s="5">
        <f t="shared" si="1"/>
        <v>-1.78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-1.78</v>
      </c>
      <c r="E37" s="9" t="e">
        <f t="shared" si="0"/>
        <v>#DIV/0!</v>
      </c>
      <c r="F37" s="9">
        <f t="shared" si="1"/>
        <v>-1.78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5018.6900000000005</v>
      </c>
      <c r="D39" s="127">
        <f>SUM(D4,D25)</f>
        <v>964.59620999999993</v>
      </c>
      <c r="E39" s="5">
        <f t="shared" si="0"/>
        <v>19.220079542669499</v>
      </c>
      <c r="F39" s="5">
        <f t="shared" si="1"/>
        <v>-4054.0937900000008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5606.5280000000002</v>
      </c>
      <c r="D40" s="234">
        <f>D41+D43+D45+D46+D48+D49+D42+D44+D51+D47</f>
        <v>619.35360000000003</v>
      </c>
      <c r="E40" s="5">
        <f t="shared" si="0"/>
        <v>11.047008059176731</v>
      </c>
      <c r="F40" s="5">
        <f t="shared" si="1"/>
        <v>-4987.1743999999999</v>
      </c>
      <c r="G40" s="19"/>
    </row>
    <row r="41" spans="1:7" ht="15.75" customHeight="1">
      <c r="A41" s="16">
        <v>2021500200</v>
      </c>
      <c r="B41" s="17" t="s">
        <v>396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227</v>
      </c>
      <c r="C42" s="12">
        <v>1300</v>
      </c>
      <c r="D42" s="20">
        <v>0</v>
      </c>
      <c r="E42" s="9">
        <f t="shared" si="0"/>
        <v>0</v>
      </c>
      <c r="F42" s="9">
        <f t="shared" si="1"/>
        <v>-1300</v>
      </c>
    </row>
    <row r="43" spans="1:7" ht="15.75" customHeight="1">
      <c r="A43" s="16">
        <v>2022000000</v>
      </c>
      <c r="B43" s="17" t="s">
        <v>19</v>
      </c>
      <c r="C43" s="12">
        <f>1124.14+2999</f>
        <v>4123.1400000000003</v>
      </c>
      <c r="D43" s="10">
        <v>89.486999999999995</v>
      </c>
      <c r="E43" s="9">
        <f t="shared" si="0"/>
        <v>2.1703604534408236</v>
      </c>
      <c r="F43" s="9">
        <f t="shared" si="1"/>
        <v>-4033.6530000000002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183.38800000000001</v>
      </c>
      <c r="D45" s="187">
        <v>29.866599999999998</v>
      </c>
      <c r="E45" s="9">
        <f t="shared" si="0"/>
        <v>16.286016533251903</v>
      </c>
      <c r="F45" s="9">
        <f t="shared" si="1"/>
        <v>-153.5214</v>
      </c>
    </row>
    <row r="46" spans="1:7" ht="12.75" customHeight="1">
      <c r="A46" s="16">
        <v>2020400000</v>
      </c>
      <c r="B46" s="17" t="s">
        <v>21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338</v>
      </c>
      <c r="C47" s="12">
        <v>0</v>
      </c>
      <c r="D47" s="188">
        <v>500</v>
      </c>
      <c r="E47" s="9" t="e">
        <f t="shared" si="0"/>
        <v>#DIV/0!</v>
      </c>
      <c r="F47" s="9">
        <f t="shared" si="1"/>
        <v>500</v>
      </c>
    </row>
    <row r="48" spans="1:7" ht="15" customHeight="1">
      <c r="A48" s="16">
        <v>2020900000</v>
      </c>
      <c r="B48" s="18" t="s">
        <v>22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customHeight="1">
      <c r="A50" s="3">
        <v>3000000000</v>
      </c>
      <c r="B50" s="13" t="s">
        <v>24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333</v>
      </c>
      <c r="C51" s="12">
        <v>0</v>
      </c>
      <c r="D51" s="10">
        <v>0</v>
      </c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93">
        <f>C39+C40</f>
        <v>10625.218000000001</v>
      </c>
      <c r="D52" s="467">
        <f>D39+D40</f>
        <v>1583.9498100000001</v>
      </c>
      <c r="E52" s="5">
        <f t="shared" si="0"/>
        <v>14.907457051704728</v>
      </c>
      <c r="F52" s="5">
        <f t="shared" si="1"/>
        <v>-9041.2681900000007</v>
      </c>
      <c r="G52" s="94"/>
    </row>
    <row r="53" spans="1:7" s="6" customFormat="1">
      <c r="A53" s="3"/>
      <c r="B53" s="21" t="s">
        <v>307</v>
      </c>
      <c r="C53" s="93">
        <f>C52-C103</f>
        <v>0</v>
      </c>
      <c r="D53" s="93">
        <f>D52-D103</f>
        <v>946.99737000000005</v>
      </c>
      <c r="E53" s="22"/>
      <c r="F53" s="22"/>
    </row>
    <row r="54" spans="1:7">
      <c r="A54" s="23"/>
      <c r="B54" s="24"/>
      <c r="C54" s="186"/>
      <c r="D54" s="186"/>
      <c r="E54" s="26"/>
      <c r="F54" s="92"/>
    </row>
    <row r="55" spans="1:7" ht="42.75" customHeight="1">
      <c r="A55" s="28" t="s">
        <v>0</v>
      </c>
      <c r="B55" s="28" t="s">
        <v>26</v>
      </c>
      <c r="C55" s="179" t="s">
        <v>402</v>
      </c>
      <c r="D55" s="180" t="s">
        <v>411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82">
        <f>C58+C59+C60+C61+C62+C64+C63</f>
        <v>2234.732</v>
      </c>
      <c r="D57" s="32">
        <f>D58+D59+D60+D61+D62+D64+D63</f>
        <v>274.16917000000001</v>
      </c>
      <c r="E57" s="34">
        <f>SUM(D57/C57*100)</f>
        <v>12.268548085408003</v>
      </c>
      <c r="F57" s="34">
        <f>SUM(D57-C57)</f>
        <v>-1960.5628299999998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2193.3000000000002</v>
      </c>
      <c r="D59" s="37">
        <v>274.16917000000001</v>
      </c>
      <c r="E59" s="38">
        <f t="shared" ref="E59:E103" si="3">SUM(D59/C59*100)</f>
        <v>12.500304107965166</v>
      </c>
      <c r="F59" s="38">
        <f t="shared" ref="F59:F103" si="4">SUM(D59-C59)</f>
        <v>-1919.1308300000001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>
        <v>32</v>
      </c>
      <c r="D62" s="37">
        <v>0</v>
      </c>
      <c r="E62" s="38">
        <f t="shared" si="3"/>
        <v>0</v>
      </c>
      <c r="F62" s="38">
        <f t="shared" si="4"/>
        <v>-32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4.4320000000000004</v>
      </c>
      <c r="D64" s="37">
        <v>0</v>
      </c>
      <c r="E64" s="38">
        <f t="shared" si="3"/>
        <v>0</v>
      </c>
      <c r="F64" s="38">
        <f t="shared" si="4"/>
        <v>-4.4320000000000004</v>
      </c>
    </row>
    <row r="65" spans="1:7" s="6" customFormat="1">
      <c r="A65" s="41" t="s">
        <v>43</v>
      </c>
      <c r="B65" s="42" t="s">
        <v>44</v>
      </c>
      <c r="C65" s="32">
        <f>C66</f>
        <v>179.208</v>
      </c>
      <c r="D65" s="32">
        <f>D66</f>
        <v>21.15692</v>
      </c>
      <c r="E65" s="34">
        <f t="shared" si="3"/>
        <v>11.805789920092852</v>
      </c>
      <c r="F65" s="34">
        <f t="shared" si="4"/>
        <v>-158.05108000000001</v>
      </c>
    </row>
    <row r="66" spans="1:7">
      <c r="A66" s="43" t="s">
        <v>45</v>
      </c>
      <c r="B66" s="44" t="s">
        <v>46</v>
      </c>
      <c r="C66" s="37">
        <v>179.208</v>
      </c>
      <c r="D66" s="37">
        <v>21.15692</v>
      </c>
      <c r="E66" s="38">
        <f t="shared" si="3"/>
        <v>11.805789920092852</v>
      </c>
      <c r="F66" s="38">
        <f t="shared" si="4"/>
        <v>-158.05108000000001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6</v>
      </c>
      <c r="D67" s="32">
        <f>D70+D71</f>
        <v>0</v>
      </c>
      <c r="E67" s="34">
        <f t="shared" si="3"/>
        <v>0</v>
      </c>
      <c r="F67" s="34">
        <f t="shared" si="4"/>
        <v>-6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1.6</v>
      </c>
      <c r="D70" s="37">
        <v>0</v>
      </c>
      <c r="E70" s="34">
        <f t="shared" si="3"/>
        <v>0</v>
      </c>
      <c r="F70" s="34">
        <f t="shared" si="4"/>
        <v>-1.6</v>
      </c>
    </row>
    <row r="71" spans="1:7" ht="15.75" customHeight="1">
      <c r="A71" s="46" t="s">
        <v>214</v>
      </c>
      <c r="B71" s="47" t="s">
        <v>215</v>
      </c>
      <c r="C71" s="37">
        <v>2.4</v>
      </c>
      <c r="D71" s="37">
        <v>0</v>
      </c>
      <c r="E71" s="34">
        <f t="shared" si="3"/>
        <v>0</v>
      </c>
      <c r="F71" s="34">
        <f t="shared" si="4"/>
        <v>-2.4</v>
      </c>
    </row>
    <row r="72" spans="1:7" ht="15.75" customHeight="1">
      <c r="A72" s="46" t="s">
        <v>339</v>
      </c>
      <c r="B72" s="47" t="s">
        <v>395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6485.27</v>
      </c>
      <c r="D73" s="48">
        <f>SUM(D74:D77)</f>
        <v>148.03485000000001</v>
      </c>
      <c r="E73" s="34">
        <f t="shared" si="3"/>
        <v>2.2826320261145638</v>
      </c>
      <c r="F73" s="34">
        <f t="shared" si="4"/>
        <v>-6337.2351500000004</v>
      </c>
    </row>
    <row r="74" spans="1:7" ht="15" customHeight="1">
      <c r="A74" s="35" t="s">
        <v>57</v>
      </c>
      <c r="B74" s="39" t="s">
        <v>58</v>
      </c>
      <c r="C74" s="49">
        <v>10.021000000000001</v>
      </c>
      <c r="D74" s="37">
        <v>0</v>
      </c>
      <c r="E74" s="38">
        <f t="shared" si="3"/>
        <v>0</v>
      </c>
      <c r="F74" s="38">
        <f t="shared" si="4"/>
        <v>-10.021000000000001</v>
      </c>
    </row>
    <row r="75" spans="1:7" s="6" customFormat="1" ht="15" customHeight="1">
      <c r="A75" s="35" t="s">
        <v>59</v>
      </c>
      <c r="B75" s="39" t="s">
        <v>60</v>
      </c>
      <c r="C75" s="49">
        <v>4578.5190000000002</v>
      </c>
      <c r="D75" s="37">
        <v>38.106000000000002</v>
      </c>
      <c r="E75" s="38">
        <f t="shared" si="3"/>
        <v>0.83227786102886103</v>
      </c>
      <c r="F75" s="38">
        <f t="shared" si="4"/>
        <v>-4540.4130000000005</v>
      </c>
      <c r="G75" s="50"/>
    </row>
    <row r="76" spans="1:7">
      <c r="A76" s="35" t="s">
        <v>61</v>
      </c>
      <c r="B76" s="39" t="s">
        <v>62</v>
      </c>
      <c r="C76" s="49">
        <v>1896.73</v>
      </c>
      <c r="D76" s="37">
        <v>109.92885</v>
      </c>
      <c r="E76" s="38">
        <f t="shared" si="3"/>
        <v>5.7957036584015649</v>
      </c>
      <c r="F76" s="38">
        <f t="shared" si="4"/>
        <v>-1786.80115</v>
      </c>
    </row>
    <row r="77" spans="1:7">
      <c r="A77" s="35" t="s">
        <v>63</v>
      </c>
      <c r="B77" s="39" t="s">
        <v>64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476.00799999999998</v>
      </c>
      <c r="D78" s="32">
        <f>SUM(D79:D82)</f>
        <v>193.5915</v>
      </c>
      <c r="E78" s="34">
        <f t="shared" si="3"/>
        <v>40.669799667232489</v>
      </c>
      <c r="F78" s="34">
        <f t="shared" si="4"/>
        <v>-282.41649999999998</v>
      </c>
    </row>
    <row r="79" spans="1:7" ht="17.2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69</v>
      </c>
      <c r="B80" s="51" t="s">
        <v>70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71</v>
      </c>
      <c r="B81" s="39" t="s">
        <v>72</v>
      </c>
      <c r="C81" s="37">
        <v>476.00799999999998</v>
      </c>
      <c r="D81" s="37">
        <v>193.5915</v>
      </c>
      <c r="E81" s="38">
        <f t="shared" si="3"/>
        <v>40.669799667232489</v>
      </c>
      <c r="F81" s="38">
        <f t="shared" si="4"/>
        <v>-282.41649999999998</v>
      </c>
    </row>
    <row r="82" spans="1:6" hidden="1">
      <c r="A82" s="35" t="s">
        <v>251</v>
      </c>
      <c r="B82" s="39" t="s">
        <v>252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1212</v>
      </c>
      <c r="D83" s="32">
        <f>D84+D85</f>
        <v>0</v>
      </c>
      <c r="E83" s="34">
        <f t="shared" si="3"/>
        <v>0</v>
      </c>
      <c r="F83" s="34">
        <f t="shared" si="4"/>
        <v>-1212</v>
      </c>
    </row>
    <row r="84" spans="1:6" ht="18" customHeight="1">
      <c r="A84" s="35" t="s">
        <v>85</v>
      </c>
      <c r="B84" s="39" t="s">
        <v>229</v>
      </c>
      <c r="C84" s="37">
        <v>1212</v>
      </c>
      <c r="D84" s="37">
        <v>0</v>
      </c>
      <c r="E84" s="38">
        <f t="shared" si="3"/>
        <v>0</v>
      </c>
      <c r="F84" s="38">
        <f t="shared" si="4"/>
        <v>-1212</v>
      </c>
    </row>
    <row r="85" spans="1:6" hidden="1">
      <c r="A85" s="35" t="s">
        <v>258</v>
      </c>
      <c r="B85" s="39" t="s">
        <v>259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32</v>
      </c>
      <c r="D93" s="32">
        <f>D94+D95+D96+D97+D98</f>
        <v>0</v>
      </c>
      <c r="E93" s="38">
        <f t="shared" si="3"/>
        <v>0</v>
      </c>
      <c r="F93" s="22">
        <f>F94+F95+F96+F97+F98</f>
        <v>-32</v>
      </c>
    </row>
    <row r="94" spans="1:6" ht="18.75" customHeight="1">
      <c r="A94" s="53">
        <v>1101</v>
      </c>
      <c r="B94" s="54" t="s">
        <v>95</v>
      </c>
      <c r="C94" s="37">
        <v>32</v>
      </c>
      <c r="D94" s="37">
        <v>0</v>
      </c>
      <c r="E94" s="38">
        <f t="shared" si="3"/>
        <v>0</v>
      </c>
      <c r="F94" s="38">
        <f>SUM(D94-C94)</f>
        <v>-32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466">
        <f>C57+C65+C67+C73+C78+C83+C86+C93+C99+C91</f>
        <v>10625.218000000001</v>
      </c>
      <c r="D103" s="466">
        <f>D57+D65+D67+D73+D78+D83+D86+D93+D99+D91</f>
        <v>636.95244000000002</v>
      </c>
      <c r="E103" s="34">
        <f t="shared" si="3"/>
        <v>5.9947234964967304</v>
      </c>
      <c r="F103" s="34">
        <f t="shared" si="4"/>
        <v>-9988.2655599999998</v>
      </c>
    </row>
    <row r="104" spans="1:6">
      <c r="D104" s="181"/>
    </row>
    <row r="105" spans="1:6" s="65" customFormat="1" ht="12.75">
      <c r="A105" s="63" t="s">
        <v>117</v>
      </c>
      <c r="B105" s="63"/>
      <c r="C105" s="119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B30CE22D-C12F-4E12-8BB9-3AAE0A6991CC}" scale="70" showPageBreaks="1" hiddenRows="1" view="pageBreakPreview" topLeftCell="A43">
      <selection activeCell="C52" sqref="C52:D52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2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8"/>
    </customSheetView>
    <customSheetView guid="{61528DAC-5C4C-48F4-ADE2-8A724B05A086}" scale="70" showPageBreaks="1" hiddenRows="1" view="pageBreakPreview" topLeftCell="A34">
      <selection activeCell="C103" sqref="C103:C10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12</vt:i4>
      </vt:variant>
    </vt:vector>
  </HeadingPairs>
  <TitlesOfParts>
    <vt:vector size="36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Лист5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Чум!Область_печати</vt:lpstr>
      <vt:lpstr>Юнг!Область_печати</vt:lpstr>
      <vt:lpstr>Юсь!Область_печати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morgau_fin2</cp:lastModifiedBy>
  <cp:lastPrinted>2020-03-04T07:21:13Z</cp:lastPrinted>
  <dcterms:created xsi:type="dcterms:W3CDTF">1996-10-08T23:32:33Z</dcterms:created>
  <dcterms:modified xsi:type="dcterms:W3CDTF">2020-03-04T11:55:16Z</dcterms:modified>
</cp:coreProperties>
</file>