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4" activeTab="18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  <sheet name="Лист5" sheetId="24" state="hidden" r:id="rId24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Мор!$A$1:$F$102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Але!$19:$24,Але!$28:$36,Але!$46:$46,Але!$53:$53,Але!$55:$57,Але!$63:$64,Але!$72:$72,Але!$74:$75,Але!$79:$83,Але!$86:$93,Але!$142:$142</definedName>
    <definedName name="Z_1718F1EE_9F48_4DBE_9531_3B70F9C4A5DD_.wvu.Rows" localSheetId="5" hidden="1">Иль!$19:$24,Иль!$39:$39,Иль!$46:$46,Иль!$58:$58,Иль!$60:$62,Иль!$68:$69,Иль!$78:$79,Иль!$81:$81,Иль!$86:$90,Иль!$93:$100,Иль!$143:$143</definedName>
    <definedName name="Z_1718F1EE_9F48_4DBE_9531_3B70F9C4A5DD_.wvu.Rows" localSheetId="6" hidden="1">Кад!$19:$24,Кад!$29:$29,Кад!$38:$38,Кад!$56:$56,Кад!$58:$60,Кад!$66:$67,Кад!$77:$77,Кад!$82:$86,Кад!$89:$96,Кад!$142:$142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19" hidden="1">Лист1!$82:$84</definedName>
    <definedName name="Z_1718F1EE_9F48_4DBE_9531_3B70F9C4A5DD_.wvu.Rows" localSheetId="7" hidden="1">Мор!$17:$24,Мор!$27:$27,Мор!$31:$31,Мор!$38:$38,Мор!$50:$51,Мор!$58:$58,Мор!$60:$62,Мор!$65:$66,Мор!$68:$69,Мор!$79:$79,Мор!$84:$89,Мор!$92:$98,Мор!$143:$143</definedName>
    <definedName name="Z_1718F1EE_9F48_4DBE_9531_3B70F9C4A5DD_.wvu.Rows" localSheetId="8" hidden="1">Мос!$19:$24,Мос!$29:$33,Мос!$59:$59,Мос!$61:$62,Мос!$69:$70,Мос!$80:$80,Мос!$83:$83,Мос!$86:$93,Мос!$96:$103,Мос!$144:$144</definedName>
    <definedName name="Z_1718F1EE_9F48_4DBE_9531_3B70F9C4A5DD_.wvu.Rows" localSheetId="9" hidden="1">Ори!$19:$24,Ори!$31:$32,Ори!$44:$44,Ори!$48:$50,Ори!$57:$57,Ори!$59:$60,Ори!$67:$68,Ори!$78:$78,Ори!$81:$81,Ори!$84:$88,Ори!$91:$98,Ори!$142:$142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район!$18:$19,район!$21:$21,район!$26:$26,район!$28:$32,район!$36:$36,район!$39:$39,район!$52:$53,район!$66:$66,район!$73:$73,район!$90:$90,район!$97:$97,район!$125:$127,район!$130:$131</definedName>
    <definedName name="Z_1718F1EE_9F48_4DBE_9531_3B70F9C4A5DD_.wvu.Rows" localSheetId="4" hidden="1">Сун!$19:$24,Сун!$45:$45,Сун!$49:$51,Сун!$58:$58,Сун!$60:$62,Сун!$68:$69,Сун!$79:$79,Сун!$82:$82,Сун!$85:$85,Сун!$93:$100,Сун!$142:$142</definedName>
    <definedName name="Z_1718F1EE_9F48_4DBE_9531_3B70F9C4A5DD_.wvu.Rows" localSheetId="10" hidden="1">Сят!$19:$24,Сят!$38:$38,Сят!$45:$47,Сят!$57:$57,Сят!$59:$60,Сят!$67:$68,Сят!$78:$78,Сят!$83:$87,Сят!$90:$97,Сят!$143:$143</definedName>
    <definedName name="Z_1718F1EE_9F48_4DBE_9531_3B70F9C4A5DD_.wvu.Rows" localSheetId="11" hidden="1">Тор!$19:$24,Тор!$32:$34,Тор!$39:$39,Тор!$50:$50,Тор!$57:$57,Тор!$59:$60,Тор!$67:$68,Тор!$75:$75,Тор!$79:$79,Тор!$84:$95,Тор!$142:$142</definedName>
    <definedName name="Z_1718F1EE_9F48_4DBE_9531_3B70F9C4A5DD_.wvu.Rows" localSheetId="12" hidden="1">Хор!$19:$24,Хор!$28:$33,Хор!$42:$42,Хор!$46:$46,Хор!$48:$50,Хор!$57:$57,Хор!$59:$61,Хор!$67:$68,Хор!$78:$78,Хор!$83:$87,Хор!$90:$97,Хор!$144:$144</definedName>
    <definedName name="Z_1718F1EE_9F48_4DBE_9531_3B70F9C4A5DD_.wvu.Rows" localSheetId="13" hidden="1">Чум!$19:$24,Чум!$31:$39,Чум!$46:$49,Чум!$57:$57,Чум!$59:$61,Чум!$67:$68,Чум!$78:$78,Чум!$83:$87,Чум!$90:$97,Чум!$142:$142</definedName>
    <definedName name="Z_1718F1EE_9F48_4DBE_9531_3B70F9C4A5DD_.wvu.Rows" localSheetId="14" hidden="1">Шать!$19:$19,Шать!$22:$25,Шать!$35:$36,Шать!$46:$49,Шать!$57:$57,Шать!$59:$61,Шать!$67:$68,Шать!$78:$78,Шать!$83:$87,Шать!$90:$97,Шать!$142:$142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Юнг!$19:$24,Юнг!$31:$35,Юнг!$38:$38,Юнг!$45:$47,Юнг!$49:$49,Юнг!$56:$56,Юнг!$58:$60,Юнг!$66:$67,Юнг!$77:$77,Юнг!$82:$86,Юнг!$89:$96,Юнг!$142:$142</definedName>
    <definedName name="Z_1718F1EE_9F48_4DBE_9531_3B70F9C4A5DD_.wvu.Rows" localSheetId="16" hidden="1">Юсь!$19:$24,Юсь!$38:$38,Юсь!$46:$52,Юсь!$60:$60,Юсь!$62:$64,Юсь!$70:$71,Юсь!$81:$81,Юсь!$86:$90,Юсь!$93:$100,Юсь!$144:$144</definedName>
    <definedName name="Z_1718F1EE_9F48_4DBE_9531_3B70F9C4A5DD_.wvu.Rows" localSheetId="17" hidden="1">Яра!$19:$24,Яра!$46:$50,Яра!$58:$58,Яра!$60:$62,Яра!$68:$69,Яра!$79:$79,Яра!$84:$88,Яра!$91:$98,Яра!$143:$143</definedName>
    <definedName name="Z_1718F1EE_9F48_4DBE_9531_3B70F9C4A5DD_.wvu.Rows" localSheetId="18" hidden="1">Яро!$19:$24,Яро!$28:$31,Яро!$43:$44,Яро!$46:$47,Яро!$54:$54,Яро!$56:$57,Яро!$64:$65,Яро!$75:$75,Яро!$80:$84,Яро!$87:$94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Мор!$A$1:$F$102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Хор!$A$1:$F$101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Иль!$19:$24,Иль!$30:$31,Иль!$33:$33,Иль!$46:$46,Иль!$51:$51,Иль!$60:$61,Иль!$68:$69,Иль!$78:$79,Иль!$81:$81,Иль!$93:$97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Мор!$17:$17,Мор!$21:$21,Мор!$23:$23,Мор!$38:$38,Мор!$45:$45,Мор!$47:$48,Мор!$50:$51,Мор!$58:$58,Мор!$60:$61,Мор!$68:$69,Мор!$84:$89,Мор!$92:$98</definedName>
    <definedName name="Z_1A52382B_3765_4E8C_903F_6B8919B7242E_.wvu.Rows" localSheetId="8" hidden="1">Мос!$19:$24,Мос!$45:$45,Мос!$59:$59,Мос!$61:$62,Мос!$69:$70,Мос!$83:$83,Мос!$87:$91,Мос!$96:$101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район!$18:$19,район!$21:$21,район!$29:$31,район!$52:$53,район!#REF!,район!$66:$66,район!$73:$73,район!$90:$90,район!$97:$97,район!$125:$127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Хор!$19:$24,Хор!$28:$38,Хор!$42:$42,Хор!$48:$50,Хор!$57:$57,Хор!$59:$61,Хор!$67:$68,Хор!$74:$74,Хор!$78:$79,Хор!$83:$87,Хор!$90:$97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Юсь!$20:$24,Юсь!$38:$38,Юсь!$42:$42,Юсь!$46:$51,Юсь!$60:$60,Юсь!$62:$63,Юсь!$70:$71,Юсь!$81:$82,Юсь!$86:$90,Юсь!$93:$100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Мор!$A$1:$F$102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Иль!$19:$24,Иль!$30:$31,Иль!$33:$33,Иль!$46:$46,Иль!$51:$51,Иль!$60:$61,Иль!$68:$69,Иль!$78:$79,Иль!$81:$81,Иль!$83:$90,Иль!$93:$97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Мор!$21:$21,Мор!$23:$23,Мор!$38:$38,Мор!$45:$45,Мор!$48:$48,Мор!$50:$51,Мор!$58:$58,Мор!$60:$61,Мор!$68:$69,Мор!$84:$89,Мор!$92:$98</definedName>
    <definedName name="Z_3DCB9AAA_F09C_4EA6_B992_F93E466D374A_.wvu.Rows" localSheetId="8" hidden="1">Мос!$19:$24,Мос!$45:$45,Мос!$59:$59,Мос!$61:$62,Мос!$69:$70,Мос!$83:$83,Мос!$85:$91,Мос!$96:$101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район!$18:$19,район!$21:$21,район!$29:$31,район!$52:$53,район!$66:$66,район!$73:$73,район!$90:$90,район!$97:$97,район!$125:$127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Хор!$19:$24,Хор!$32:$32,Хор!$42:$42,Хор!$46:$46,Хор!$57:$57,Хор!$59:$60,Хор!$67:$68,Хор!$83:$87,Хор!$90:$97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Юсь!$20:$24,Юсь!$42:$42,Юсь!$46:$51,Юсь!$60:$60,Юсь!$62:$63,Юсь!$70:$71,Юсь!$81:$82,Юсь!$85:$90,Юсь!$93:$100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Мор!$A$1:$F$102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Иль!$19:$24,Иль!$30:$40,Иль!$46:$46,Иль!$48:$51,Иль!$58:$58,Иль!$60:$62,Иль!$68:$69,Иль!$78:$79,Иль!$81:$81,Иль!$86:$90,Иль!$93:$100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Мор!$17:$24,Мор!$38:$38,Мор!$45:$45,Мор!$47:$48,Мор!$50:$51,Мор!$58:$58,Мор!$60:$61,Мор!$65:$66,Мор!$68:$69,Мор!$79:$80,Мор!$84:$89,Мор!$92:$98</definedName>
    <definedName name="Z_42584DC0_1D41_4C93_9B38_C388E7B8DAC4_.wvu.Rows" localSheetId="8" hidden="1">Мос!$19:$24,Мос!$29:$36,Мос!$45:$45,Мос!$47:$51,Мос!$59:$59,Мос!$61:$62,Мос!$69:$70,Мос!$80:$81,Мос!$83:$83,Мос!$86:$93,Мос!$96:$103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$52:$53,район!#REF!,район!#REF!,район!$60:$62,район!$66:$66,район!$73:$73,район!$84:$84,район!$90:$90,район!$93:$93,район!$97:$97,район!$105:$105,район!$125:$127,район!$130:$131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Хор!$19:$24,Хор!$28:$38,Хор!$42:$42,Хор!$46:$46,Хор!$48:$50,Хор!$57:$57,Хор!$59:$61,Хор!$67:$68,Хор!$74:$74,Хор!$78:$79,Хор!$83:$87,Хор!$90:$97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Юсь!$19:$24,Юсь!$31:$33,Юсь!$38:$38,Юсь!$42:$42,Юсь!$46:$51,Юсь!$60:$60,Юсь!$62:$64,Юсь!$70:$71,Юсь!$81:$82,Юсь!$86:$90,Юсь!$93:$100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Мор!$A$1:$F$102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Иль!$19:$24,Иль!$30:$31,Иль!$33:$33,Иль!$46:$46,Иль!$51:$51,Иль!$60:$61,Иль!$68:$69,Иль!$78:$79,Иль!$81:$81,Иль!$93:$97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Мор!$21:$21,Мор!$23:$23,Мор!$38:$38,Мор!$45:$45,Мор!$48:$48,Мор!$50:$51,Мор!$58:$58,Мор!$60:$61,Мор!$68:$69,Мор!$84:$89,Мор!$92:$98</definedName>
    <definedName name="Z_5BFCA170_DEAE_4D2C_98A0_1E68B427AC01_.wvu.Rows" localSheetId="8" hidden="1">Мос!$19:$24,Мос!$45:$45,Мос!$59:$59,Мос!$61:$62,Мос!$69:$70,Мос!$83:$83,Мос!$85:$91,Мос!$96:$101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район!$18:$19,район!$21:$21,район!$29:$31,район!$52:$53,район!$66:$66,район!$73:$73,район!$90:$90,район!$97:$97,район!$125:$127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Хор!$19:$24,Хор!$32:$32,Хор!$42:$42,Хор!$46:$46,Хор!$57:$57,Хор!$59:$60,Хор!$67:$68,Хор!$83:$87,Хор!$90:$97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Юсь!$20:$24,Юсь!$42:$42,Юсь!$46:$51,Юсь!$60:$60,Юсь!$62:$63,Юсь!$70:$71,Юсь!$81:$82,Юсь!$85:$90,Юсь!$93:$100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Мор!$A$1:$F$102</definedName>
    <definedName name="Z_61528DAC_5C4C_48F4_ADE2_8A724B05A086_.wvu.PrintArea" localSheetId="2" hidden="1">район!$A$1:$F$139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Але!$19:$24,Але!$28:$28,Але!$36:$36,Але!$46:$46,Але!$55:$56,Але!$63:$64,Але!$74:$74,Але!$79:$82,Але!$86:$93,Але!$142:$142</definedName>
    <definedName name="Z_61528DAC_5C4C_48F4_ADE2_8A724B05A086_.wvu.Rows" localSheetId="5" hidden="1">Иль!$19:$23,Иль!$58:$58,Иль!$60:$61,Иль!$68:$69,Иль!$78:$79,Иль!$86:$90,Иль!$93:$100,Иль!$143:$143</definedName>
    <definedName name="Z_61528DAC_5C4C_48F4_ADE2_8A724B05A086_.wvu.Rows" localSheetId="6" hidden="1">Кад!$19:$24,Кад!$31:$33,Кад!$38:$38,Кад!$44:$44,Кад!$48:$48,Кад!$56:$56,Кад!$58:$59,Кад!$66:$67,Кад!$73:$73,Кад!$77:$77,Кад!$82:$86,Кад!$89:$96,Кад!$142:$142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Мор!$17:$24,Мор!$27:$27,Мор!$45:$45,Мор!$48:$48,Мор!$50:$50,Мор!$58:$58,Мор!$60:$61,Мор!$65:$66,Мор!$68:$69,Мор!$79:$79,Мор!$84:$89,Мор!$92:$98,Мор!$143:$143</definedName>
    <definedName name="Z_61528DAC_5C4C_48F4_ADE2_8A724B05A086_.wvu.Rows" localSheetId="8" hidden="1">Мос!$19:$23,Мос!$29:$32,Мос!$45:$45,Мос!$51:$51,Мос!$59:$59,Мос!$61:$62,Мос!$69:$70,Мос!$76:$76,Мос!$80:$80,Мос!$83:$83,Мос!$86:$93,Мос!$96:$103,Мос!$144:$144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район!$131:$131</definedName>
    <definedName name="Z_61528DAC_5C4C_48F4_ADE2_8A724B05A086_.wvu.Rows" localSheetId="4" hidden="1">Сун!$19:$24,Сун!$33:$34,Сун!$45:$45,Сун!$49:$51,Сун!$58:$58,Сун!$60:$61,Сун!$68:$69,Сун!$79:$79,Сун!$82:$82,Сун!$87:$87,Сун!$93:$99,Сун!$142:$142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Тор!$19:$24,Тор!$32:$34,Тор!$39:$39,Тор!$57:$57,Тор!$59:$60,Тор!$67:$68,Тор!$75:$75,Тор!$79:$79,Тор!$85:$95,Тор!$142:$142</definedName>
    <definedName name="Z_61528DAC_5C4C_48F4_ADE2_8A724B05A086_.wvu.Rows" localSheetId="12" hidden="1">Хор!$19:$23,Хор!$42:$42,Хор!$48:$50,Хор!$57:$57,Хор!$59:$60,Хор!$67:$68,Хор!$78:$78,Хор!$83:$87,Хор!$90:$97,Хор!$144:$144</definedName>
    <definedName name="Z_61528DAC_5C4C_48F4_ADE2_8A724B05A086_.wvu.Rows" localSheetId="13" hidden="1">Чум!$19:$24,Чум!$31:$36,Чум!$57:$57,Чум!$59:$60,Чум!$67:$68,Чум!$78:$78,Чум!$83:$87,Чум!$90:$97,Чум!$142:$142</definedName>
    <definedName name="Z_61528DAC_5C4C_48F4_ADE2_8A724B05A086_.wvu.Rows" localSheetId="14" hidden="1">Шать!$19:$25,Шать!$31:$33,Шать!$35:$36,Шать!$57:$57,Шать!$59:$60,Шать!$67:$68,Шать!$78:$78,Шать!$84:$86,Шать!$90:$97,Шать!$142:$142</definedName>
    <definedName name="Z_61528DAC_5C4C_48F4_ADE2_8A724B05A086_.wvu.Rows" localSheetId="15" hidden="1">Юнг!$19:$24,Юнг!$38:$38,Юнг!$46:$46,Юнг!$56:$56,Юнг!$58:$59,Юнг!$66:$67,Юнг!$77:$77,Юнг!$82:$86,Юнг!$89:$96,Юнг!$142:$142</definedName>
    <definedName name="Z_61528DAC_5C4C_48F4_ADE2_8A724B05A086_.wvu.Rows" localSheetId="16" hidden="1">Юсь!$19:$24,Юсь!$38:$38,Юсь!$60:$60,Юсь!$62:$63,Юсь!$70:$71,Юсь!$81:$81,Юсь!$86:$90,Юсь!$93:$100,Юсь!$144:$144</definedName>
    <definedName name="Z_61528DAC_5C4C_48F4_ADE2_8A724B05A086_.wvu.Rows" localSheetId="17" hidden="1">Яра!$19:$24,Яра!$28:$29,Яра!$33:$33,Яра!$46:$46,Яра!$48:$48,Яра!$58:$58,Яра!$60:$61,Яра!$68:$69,Яра!$79:$79,Яра!$84:$88,Яра!$91:$98,Яра!$143:$143</definedName>
    <definedName name="Z_61528DAC_5C4C_48F4_ADE2_8A724B05A086_.wvu.Rows" localSheetId="18" hidden="1">Яро!$19:$24,Яро!$28:$28,Яро!$43:$43,Яро!$46:$47,Яро!$54:$54,Яро!$56:$57,Яро!$64:$65,Яро!$75:$75,Яро!$82:$84,Яро!$87:$90,Яро!$92:$94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Мор!$A$1:$F$102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Иль!$19:$24,Иль!$30:$40,Иль!$46:$46,Иль!$48:$51,Иль!$58:$58,Иль!$60:$62,Иль!$68:$69,Иль!$78:$79,Иль!$81:$81,Иль!$86:$90,Иль!$93:$100,Иль!$143:$143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Мор!$17:$24,Мор!$27:$27,Мор!$31:$35,Мор!$38:$38,Мор!$45:$45,Мор!$47:$48,Мор!$50:$51,Мор!$58:$58,Мор!$60:$61,Мор!$65:$66,Мор!$68:$69,Мор!$79:$80,Мор!$84:$89,Мор!$92:$98,Мор!$143:$143</definedName>
    <definedName name="Z_A54C432C_6C68_4B53_A75C_446EB3A61B2B_.wvu.Rows" localSheetId="8" hidden="1">Мос!$19:$24,Мос!$29:$36,Мос!$45:$45,Мос!$47:$51,Мос!$59:$59,Мос!$61:$62,Мос!$69:$70,Мос!$80:$81,Мос!$83:$83,Мос!$86:$93,Мос!$96:$103,Мос!$144:$144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район!$18:$19,район!$21:$21,район!$26:$26,район!$28:$32,район!$36:$36,район!$39:$39,район!$52:$53,район!#REF!,район!$66:$66,район!$73:$73,район!$90:$90,район!$97:$97,район!$125:$127,район!$130:$131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Хор!$19:$24,Хор!$28:$33,Хор!$42:$42,Хор!$46:$46,Хор!$48:$50,Хор!$57:$57,Хор!$59:$61,Хор!$67:$68,Хор!$74:$74,Хор!$78:$79,Хор!$83:$87,Хор!$90:$97,Хор!$144:$144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Юсь!$19:$24,Юсь!$31:$33,Юсь!$38:$38,Юсь!$42:$42,Юсь!$46:$52,Юсь!$60:$60,Юсь!$62:$63,Юсь!$70:$71,Юсь!$81:$82,Юсь!$86:$90,Юсь!$93:$100,Юсь!$144:$144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Мор!$A$1:$F$102</definedName>
    <definedName name="Z_B30CE22D_C12F_4E12_8BB9_3AAE0A6991CC_.wvu.PrintArea" localSheetId="2" hidden="1">район!$A$1:$F$139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Юсь!$A$1:$F$104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Але!$19:$24,Але!$28:$28,Але!$36:$36,Але!$45:$46,Але!$53:$53,Але!$55:$56,Але!$63:$64,Але!$74:$75,Але!$79:$83,Але!$86:$93,Але!$142:$142</definedName>
    <definedName name="Z_B30CE22D_C12F_4E12_8BB9_3AAE0A6991CC_.wvu.Rows" localSheetId="5" hidden="1">Иль!$19:$24,Иль!$34:$34,Иль!$39:$40,Иль!$58:$58,Иль!$60:$61,Иль!$68:$69,Иль!$78:$79,Иль!$81:$81,Иль!$86:$90,Иль!$93:$100,Иль!$143:$143</definedName>
    <definedName name="Z_B30CE22D_C12F_4E12_8BB9_3AAE0A6991CC_.wvu.Rows" localSheetId="6" hidden="1">Кад!$19:$24,Кад!$31:$35,Кад!$38:$38,Кад!$48:$49,Кад!$56:$56,Кад!$58:$59,Кад!$66:$67,Кад!$77:$78,Кад!$82:$86,Кад!$89:$96,Кад!$142:$142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Мор!$17:$24,Мор!$27:$27,Мор!$31:$33,Мор!$45:$45,Мор!$48:$48,Мор!$50:$51,Мор!$58:$58,Мор!$60:$61,Мор!$65:$66,Мор!$68:$69,Мор!$79:$80,Мор!$84:$89,Мор!$92:$98,Мор!$143:$143</definedName>
    <definedName name="Z_B30CE22D_C12F_4E12_8BB9_3AAE0A6991CC_.wvu.Rows" localSheetId="8" hidden="1">Мос!$19:$24,Мос!$29:$33,Мос!$45:$45,Мос!$59:$59,Мос!$61:$62,Мос!$69:$70,Мос!$80:$81,Мос!$83:$83,Мос!$86:$93,Мос!$96:$103,Мос!$144:$144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район!$28:$32,район!$52:$52,район!$73:$73,район!$97:$97,район!$125:$127,район!$130:$131</definedName>
    <definedName name="Z_B30CE22D_C12F_4E12_8BB9_3AAE0A6991CC_.wvu.Rows" localSheetId="4" hidden="1">Сун!$19:$24,Сун!$34:$34,Сун!$39:$39,Сун!$49:$51,Сун!$54:$54,Сун!$58:$58,Сун!$60:$61,Сун!$68:$69,Сун!$79:$80,Сун!$82:$82,Сун!$85:$85,Сун!$87:$90,Сун!$93:$100,Сун!$142:$142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Тор!$19:$24,Тор!$32:$36,Тор!$39:$39,Тор!$48:$48,Тор!$50:$50,Тор!$57:$57,Тор!$59:$60,Тор!$67:$68,Тор!$75:$75,Тор!$79:$80,Тор!$85:$87,Тор!$89:$95,Тор!$142:$142</definedName>
    <definedName name="Z_B30CE22D_C12F_4E12_8BB9_3AAE0A6991CC_.wvu.Rows" localSheetId="12" hidden="1">Хор!$19:$24,Хор!$28:$38,Хор!$42:$42,Хор!$48:$50,Хор!$57:$57,Хор!$59:$61,Хор!$67:$68,Хор!$78:$79,Хор!$83:$87,Хор!$90:$97,Хор!$144:$144</definedName>
    <definedName name="Z_B30CE22D_C12F_4E12_8BB9_3AAE0A6991CC_.wvu.Rows" localSheetId="13" hidden="1">Чум!$19:$24,Чум!$31:$36,Чум!$46:$49,Чум!$57:$57,Чум!$59:$61,Чум!$67:$68,Чум!$78:$79,Чум!$83:$87,Чум!$90:$97,Чум!$142:$142</definedName>
    <definedName name="Z_B30CE22D_C12F_4E12_8BB9_3AAE0A6991CC_.wvu.Rows" localSheetId="14" hidden="1">Шать!$19:$25,Шать!$31:$33,Шать!$48:$49,Шать!$57:$57,Шать!$59:$60,Шать!$67:$68,Шать!$78:$79,Шать!$84:$86,Шать!$90:$97,Шать!$142:$142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Юсь!$19:$24,Юсь!$31:$33,Юсь!$38:$38,Юсь!$46:$51,Юсь!$60:$60,Юсь!$62:$63,Юсь!$70:$71,Юсь!$81:$82,Юсь!$86:$90,Юсь!$93:$100,Юсь!$144:$144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Яро!$19:$24,Яро!$28:$28,Яро!$36:$36,Яро!$43:$43,Яро!$54:$54,Яро!$56:$57,Яро!$64:$65,Яро!$75:$75,Яро!$80:$84,Яро!$87:$90,Яро!$92:$94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Мор!$A$1:$F$102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Иль!$19:$24,Иль!$33:$33,Иль!$46:$46,Иль!$51:$51,Иль!$60:$61,Иль!$68:$69,Иль!$78:$79,Иль!$81:$81,Иль!$93:$97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Мор!$21:$21,Мор!$23:$23,Мор!$38:$38,Мор!$45:$45,Мор!$48:$48,Мор!$50:$51,Мор!$58:$58,Мор!$60:$61,Мор!$68:$69,Мор!$84:$89,Мор!$92:$98</definedName>
    <definedName name="Z_B31C8DB7_3E78_4144_A6B5_8DE36DE63F0E_.wvu.Rows" localSheetId="8" hidden="1">Мос!$19:$24,Мос!$45:$45,Мос!$59:$59,Мос!$61:$62,Мос!$69:$70,Мос!$83:$83,Мос!$85:$91,Мос!$96:$101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район!$18:$19,район!$21:$21,район!$29:$31,район!$52:$53,район!$66:$66,район!$73:$73,район!$90:$90,район!$97:$97,район!$125:$127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Хор!$19:$24,Хор!$32:$32,Хор!$42:$42,Хор!$57:$57,Хор!$59:$60,Хор!$67:$68,Хор!$83:$87,Хор!$90:$97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Юсь!$20:$24,Юсь!$42:$42,Юсь!$46:$51,Юсь!$70:$71,Юсь!$86:$90,Юсь!$93:$100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Яро!$19:$24,Яро!$54:$54,Яро!$56:$57,Яро!$64:$65,Яро!$75:$76,Яро!$80:$85,Яро!$87:$94</definedName>
    <definedName name="_xlnm.Print_Area" localSheetId="3">Але!$A$1:$F$97</definedName>
    <definedName name="_xlnm.Print_Area" localSheetId="5">Иль!$A$1:$F$104</definedName>
    <definedName name="_xlnm.Print_Area" localSheetId="0">Консол!$A$1:$K$50</definedName>
    <definedName name="_xlnm.Print_Area" localSheetId="7">Мор!$A$1:$F$102</definedName>
    <definedName name="_xlnm.Print_Area" localSheetId="2">район!$A$1:$F$139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7 - Личное представление" guid="{5BFCA170-DEAE-4D2C-98A0-1E68B427AC01}" mergeInterval="0" personalView="1" maximized="1" xWindow="1" yWindow="1" windowWidth="1916" windowHeight="850" tabRatio="695" activeSheetId="3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2 - Личное представление" guid="{B30CE22D-C12F-4E12-8BB9-3AAE0A6991CC}" mergeInterval="0" personalView="1" maximized="1" xWindow="1" yWindow="1" windowWidth="1916" windowHeight="850" tabRatio="695" activeSheetId="2"/>
    <customWorkbookView name="Admin - Личное представление" guid="{1718F1EE-9F48-4DBE-9531-3B70F9C4A5DD}" mergeInterval="0" personalView="1" maximized="1" xWindow="1" yWindow="1" windowWidth="1280" windowHeight="800" tabRatio="695" activeSheetId="12"/>
    <customWorkbookView name="morgau_fin3 - Личное представление" guid="{61528DAC-5C4C-48F4-ADE2-8A724B05A086}" mergeInterval="0" personalView="1" maximized="1" xWindow="1" yWindow="1" windowWidth="1916" windowHeight="850" tabRatio="694" activeSheetId="1"/>
  </customWorkbookViews>
</workbook>
</file>

<file path=xl/calcChain.xml><?xml version="1.0" encoding="utf-8"?>
<calcChain xmlns="http://schemas.openxmlformats.org/spreadsheetml/2006/main">
  <c r="D40" i="1"/>
  <c r="D39"/>
  <c r="D35"/>
  <c r="D34"/>
  <c r="D31"/>
  <c r="D30"/>
  <c r="D29"/>
  <c r="D28"/>
  <c r="D26"/>
  <c r="D25"/>
  <c r="D22"/>
  <c r="D21"/>
  <c r="D20"/>
  <c r="D19"/>
  <c r="D18"/>
  <c r="D17"/>
  <c r="D16"/>
  <c r="D15"/>
  <c r="D14" s="1"/>
  <c r="D13"/>
  <c r="D12"/>
  <c r="D11"/>
  <c r="D10"/>
  <c r="D9"/>
  <c r="D8"/>
  <c r="D7"/>
  <c r="D6"/>
  <c r="D5"/>
  <c r="D4" s="1"/>
  <c r="BO27" i="2"/>
  <c r="D34" i="17"/>
  <c r="D48" i="3"/>
  <c r="D23" i="1" l="1"/>
  <c r="D27" s="1"/>
  <c r="CG27" i="2"/>
  <c r="CF27"/>
  <c r="BE16"/>
  <c r="CF19"/>
  <c r="D40" i="17"/>
  <c r="C40"/>
  <c r="BF16" i="2"/>
  <c r="E57" i="3"/>
  <c r="CS19" i="2" l="1"/>
  <c r="D68" i="9"/>
  <c r="D34" i="8"/>
  <c r="C73" i="4"/>
  <c r="D77" i="13"/>
  <c r="D56"/>
  <c r="D42" i="6"/>
  <c r="C42"/>
  <c r="D34" i="13"/>
  <c r="BO23" i="2" s="1"/>
  <c r="BP23" s="1"/>
  <c r="CJ16"/>
  <c r="CI16"/>
  <c r="CS16"/>
  <c r="CR16"/>
  <c r="D34" i="9"/>
  <c r="BO19" i="2" s="1"/>
  <c r="E56" i="3"/>
  <c r="CI17" i="2"/>
  <c r="CJ17"/>
  <c r="D64" i="3"/>
  <c r="G24" i="1" s="1"/>
  <c r="C38" i="4"/>
  <c r="E99" i="3"/>
  <c r="F99"/>
  <c r="E73"/>
  <c r="E46" i="19"/>
  <c r="D41" i="9"/>
  <c r="E48"/>
  <c r="F48"/>
  <c r="D54" i="3"/>
  <c r="C54"/>
  <c r="D12"/>
  <c r="C12"/>
  <c r="F13"/>
  <c r="E13"/>
  <c r="C41" i="5"/>
  <c r="D41"/>
  <c r="C7" i="4"/>
  <c r="C12"/>
  <c r="C14"/>
  <c r="C17"/>
  <c r="C26"/>
  <c r="C29"/>
  <c r="C31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5" i="6"/>
  <c r="C35"/>
  <c r="BN16" i="2" s="1"/>
  <c r="F36" i="6"/>
  <c r="E36"/>
  <c r="D63" i="19"/>
  <c r="D31"/>
  <c r="C31"/>
  <c r="BE29" i="2" s="1"/>
  <c r="E45" i="19"/>
  <c r="D67" i="5"/>
  <c r="C79" i="3"/>
  <c r="CG17" i="2"/>
  <c r="CF17"/>
  <c r="CD17"/>
  <c r="CC17"/>
  <c r="D69" i="17"/>
  <c r="D65" i="16"/>
  <c r="D66" i="14"/>
  <c r="D66" i="13"/>
  <c r="D66" i="10"/>
  <c r="D67" i="8"/>
  <c r="D65" i="7"/>
  <c r="D34" i="3"/>
  <c r="C59" i="17"/>
  <c r="AZ15" i="2"/>
  <c r="D40" i="7"/>
  <c r="C64" i="3"/>
  <c r="D53" i="19"/>
  <c r="CM14" i="2"/>
  <c r="D40" i="13"/>
  <c r="BP27" i="2"/>
  <c r="BP14"/>
  <c r="D82" i="18"/>
  <c r="D95" i="3"/>
  <c r="C95"/>
  <c r="F96"/>
  <c r="E96"/>
  <c r="CO17" i="2"/>
  <c r="CO14"/>
  <c r="F135" i="3"/>
  <c r="E135"/>
  <c r="F134"/>
  <c r="E134"/>
  <c r="F133"/>
  <c r="E133"/>
  <c r="D132"/>
  <c r="C132"/>
  <c r="F131"/>
  <c r="C130"/>
  <c r="F130" s="1"/>
  <c r="F129"/>
  <c r="E129"/>
  <c r="D128"/>
  <c r="C128"/>
  <c r="E127"/>
  <c r="E126"/>
  <c r="E125"/>
  <c r="F124"/>
  <c r="E124"/>
  <c r="F123"/>
  <c r="E123"/>
  <c r="D122"/>
  <c r="C122"/>
  <c r="F121"/>
  <c r="E121"/>
  <c r="F120"/>
  <c r="E120"/>
  <c r="F119"/>
  <c r="E119"/>
  <c r="F118"/>
  <c r="E118"/>
  <c r="D117"/>
  <c r="C117"/>
  <c r="F116"/>
  <c r="E116"/>
  <c r="F115"/>
  <c r="E115"/>
  <c r="D114"/>
  <c r="C114"/>
  <c r="F113"/>
  <c r="E113"/>
  <c r="F112"/>
  <c r="E112"/>
  <c r="F111"/>
  <c r="E111"/>
  <c r="F110"/>
  <c r="E110"/>
  <c r="F109"/>
  <c r="E109"/>
  <c r="D108"/>
  <c r="C108"/>
  <c r="F107"/>
  <c r="E107"/>
  <c r="D106"/>
  <c r="C106"/>
  <c r="F105"/>
  <c r="E105"/>
  <c r="F104"/>
  <c r="E104"/>
  <c r="F103"/>
  <c r="E103"/>
  <c r="D102"/>
  <c r="C102"/>
  <c r="F101"/>
  <c r="E101"/>
  <c r="F100"/>
  <c r="E100"/>
  <c r="F98"/>
  <c r="E98"/>
  <c r="F97"/>
  <c r="E97"/>
  <c r="F94"/>
  <c r="E94"/>
  <c r="F93"/>
  <c r="E93"/>
  <c r="F92"/>
  <c r="E92"/>
  <c r="F91"/>
  <c r="E91"/>
  <c r="F90"/>
  <c r="E90"/>
  <c r="D89"/>
  <c r="C89"/>
  <c r="F88"/>
  <c r="E88"/>
  <c r="D87"/>
  <c r="C87"/>
  <c r="F86"/>
  <c r="E86"/>
  <c r="F85"/>
  <c r="E85"/>
  <c r="F84"/>
  <c r="E84"/>
  <c r="F83"/>
  <c r="E83"/>
  <c r="F82"/>
  <c r="E82"/>
  <c r="F81"/>
  <c r="E81"/>
  <c r="F80"/>
  <c r="E80"/>
  <c r="D79"/>
  <c r="F73"/>
  <c r="F72"/>
  <c r="E72"/>
  <c r="F71"/>
  <c r="E71"/>
  <c r="F70"/>
  <c r="E70"/>
  <c r="F69"/>
  <c r="E69"/>
  <c r="F68"/>
  <c r="E68"/>
  <c r="F67"/>
  <c r="E67"/>
  <c r="F66"/>
  <c r="E66"/>
  <c r="F65"/>
  <c r="E65"/>
  <c r="F62"/>
  <c r="E62"/>
  <c r="F61"/>
  <c r="E61"/>
  <c r="D60"/>
  <c r="C60"/>
  <c r="F59"/>
  <c r="E59"/>
  <c r="F58"/>
  <c r="E58"/>
  <c r="F55"/>
  <c r="E55"/>
  <c r="F53"/>
  <c r="E53"/>
  <c r="D52"/>
  <c r="C52"/>
  <c r="F50"/>
  <c r="E50"/>
  <c r="F49"/>
  <c r="E49"/>
  <c r="C48"/>
  <c r="F47"/>
  <c r="F46"/>
  <c r="E46"/>
  <c r="D45"/>
  <c r="C45"/>
  <c r="F44"/>
  <c r="E44"/>
  <c r="D43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AB28" i="2"/>
  <c r="AZ17"/>
  <c r="AZ19"/>
  <c r="AZ20"/>
  <c r="AZ21"/>
  <c r="AZ24"/>
  <c r="AZ26"/>
  <c r="AZ27"/>
  <c r="AZ28"/>
  <c r="C67" i="5"/>
  <c r="C67" i="8"/>
  <c r="F72"/>
  <c r="E72"/>
  <c r="DF33" i="2"/>
  <c r="C68" i="9"/>
  <c r="C41"/>
  <c r="C66" i="12"/>
  <c r="E65" i="11"/>
  <c r="C66"/>
  <c r="C66" i="10"/>
  <c r="C65" i="7"/>
  <c r="C66" i="13"/>
  <c r="C69" i="17"/>
  <c r="C65" i="16"/>
  <c r="C66" i="15"/>
  <c r="C66" i="14"/>
  <c r="F71"/>
  <c r="E71"/>
  <c r="C63" i="19"/>
  <c r="D26"/>
  <c r="BE28" i="2"/>
  <c r="D71" i="7"/>
  <c r="D84" i="9"/>
  <c r="D26" i="6"/>
  <c r="E44" i="14"/>
  <c r="F41" i="5" l="1"/>
  <c r="E41"/>
  <c r="D25" i="4"/>
  <c r="C25"/>
  <c r="CQ17" i="2"/>
  <c r="CQ14"/>
  <c r="E106" i="3"/>
  <c r="E132"/>
  <c r="F122"/>
  <c r="E24"/>
  <c r="F128"/>
  <c r="F7"/>
  <c r="F24"/>
  <c r="E43"/>
  <c r="E45"/>
  <c r="E79"/>
  <c r="F12"/>
  <c r="E7"/>
  <c r="E87"/>
  <c r="F89"/>
  <c r="F114"/>
  <c r="C4"/>
  <c r="E12"/>
  <c r="E54"/>
  <c r="F64"/>
  <c r="F79"/>
  <c r="F95"/>
  <c r="E122"/>
  <c r="E102"/>
  <c r="F106"/>
  <c r="D4"/>
  <c r="E48"/>
  <c r="F60"/>
  <c r="F117"/>
  <c r="E108"/>
  <c r="C33"/>
  <c r="F52"/>
  <c r="E28"/>
  <c r="E17"/>
  <c r="E5"/>
  <c r="E22"/>
  <c r="E34"/>
  <c r="F45"/>
  <c r="F48"/>
  <c r="F102"/>
  <c r="E128"/>
  <c r="E52"/>
  <c r="F54"/>
  <c r="E60"/>
  <c r="E89"/>
  <c r="E95"/>
  <c r="E114"/>
  <c r="E117"/>
  <c r="C136"/>
  <c r="F108"/>
  <c r="E64"/>
  <c r="D33"/>
  <c r="F87"/>
  <c r="F5"/>
  <c r="F17"/>
  <c r="F22"/>
  <c r="F28"/>
  <c r="F34"/>
  <c r="F43"/>
  <c r="F132"/>
  <c r="D136"/>
  <c r="D40" i="16"/>
  <c r="D63" i="3" l="1"/>
  <c r="D74" s="1"/>
  <c r="F4"/>
  <c r="E4"/>
  <c r="C63"/>
  <c r="C74" s="1"/>
  <c r="F136"/>
  <c r="E136"/>
  <c r="E33"/>
  <c r="F33"/>
  <c r="D34" i="15"/>
  <c r="D36" i="7"/>
  <c r="D66" i="12"/>
  <c r="D34" i="11"/>
  <c r="D26"/>
  <c r="D14"/>
  <c r="CV26" i="2"/>
  <c r="AT18"/>
  <c r="AQ18"/>
  <c r="E74" i="3" l="1"/>
  <c r="H74"/>
  <c r="C75"/>
  <c r="F63"/>
  <c r="E63"/>
  <c r="D75"/>
  <c r="F74" s="1"/>
  <c r="C34" i="11"/>
  <c r="BN21" i="2" s="1"/>
  <c r="C82" i="12"/>
  <c r="D12" i="19"/>
  <c r="D67" i="18" l="1"/>
  <c r="E44" i="13"/>
  <c r="D82" i="12"/>
  <c r="D64"/>
  <c r="D67" i="6"/>
  <c r="C67"/>
  <c r="E72"/>
  <c r="F72"/>
  <c r="G32" i="1" l="1"/>
  <c r="E50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BQ14" i="2"/>
  <c r="BR14"/>
  <c r="CV22"/>
  <c r="CV21"/>
  <c r="D41" i="12"/>
  <c r="E49"/>
  <c r="F49"/>
  <c r="D40" i="11"/>
  <c r="CS23" i="2" l="1"/>
  <c r="CS18"/>
  <c r="CS14" l="1"/>
  <c r="D40" i="10"/>
  <c r="D41" i="8"/>
  <c r="D17" i="15"/>
  <c r="CS29" i="2"/>
  <c r="CR29"/>
  <c r="CS27"/>
  <c r="CS25"/>
  <c r="CS24"/>
  <c r="CS22"/>
  <c r="CS21"/>
  <c r="D41" i="15"/>
  <c r="D37" i="14"/>
  <c r="BR24" i="2" s="1"/>
  <c r="D41" i="14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2" i="13"/>
  <c r="F90" i="18"/>
  <c r="F53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2" i="9"/>
  <c r="E52"/>
  <c r="F52"/>
  <c r="E48" i="8"/>
  <c r="F48"/>
  <c r="E49"/>
  <c r="F49"/>
  <c r="E50"/>
  <c r="F50"/>
  <c r="E51"/>
  <c r="F51"/>
  <c r="C41"/>
  <c r="F41" s="1"/>
  <c r="F81" i="5"/>
  <c r="F76"/>
  <c r="C26"/>
  <c r="E48"/>
  <c r="F48"/>
  <c r="E48" i="12"/>
  <c r="F48"/>
  <c r="C41" i="15"/>
  <c r="F41" s="1"/>
  <c r="E42"/>
  <c r="C40" i="13"/>
  <c r="C41" i="12"/>
  <c r="F41" i="10"/>
  <c r="E44"/>
  <c r="F44"/>
  <c r="E45" i="9"/>
  <c r="F45"/>
  <c r="E45" i="8"/>
  <c r="F45"/>
  <c r="E44" i="7"/>
  <c r="F44"/>
  <c r="E46" i="6"/>
  <c r="F46"/>
  <c r="E47"/>
  <c r="F47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2" i="8"/>
  <c r="EL18" i="2" s="1"/>
  <c r="C78" i="8"/>
  <c r="EH18" i="2" s="1"/>
  <c r="C73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81"/>
  <c r="EL23" i="2" s="1"/>
  <c r="EI23"/>
  <c r="D64" i="13"/>
  <c r="D72"/>
  <c r="EF23" i="2" s="1"/>
  <c r="D26" i="13"/>
  <c r="AQ27" i="2"/>
  <c r="AQ25"/>
  <c r="AQ19"/>
  <c r="AR19" s="1"/>
  <c r="AQ17"/>
  <c r="AT29"/>
  <c r="AU29" s="1"/>
  <c r="BU32"/>
  <c r="BU33" s="1"/>
  <c r="E88" i="16"/>
  <c r="C81" i="14"/>
  <c r="EK24" i="2" s="1"/>
  <c r="E15" i="14"/>
  <c r="C77" i="13"/>
  <c r="EH23" i="2" s="1"/>
  <c r="E42" i="10"/>
  <c r="F42"/>
  <c r="F77" i="9"/>
  <c r="F36"/>
  <c r="E36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3" i="8"/>
  <c r="F43"/>
  <c r="E86" i="7"/>
  <c r="BR17" i="2"/>
  <c r="E42" i="7"/>
  <c r="F42"/>
  <c r="E35"/>
  <c r="F35"/>
  <c r="E58" i="6"/>
  <c r="F58"/>
  <c r="E50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1" i="19"/>
  <c r="DZ29" i="2" s="1"/>
  <c r="D38" i="19"/>
  <c r="D35" i="18"/>
  <c r="BO28" i="2" s="1"/>
  <c r="BO20"/>
  <c r="BP20" s="1"/>
  <c r="D88" i="14"/>
  <c r="ER24" i="2" s="1"/>
  <c r="D37" i="8"/>
  <c r="BR18" i="2" s="1"/>
  <c r="E27" i="19"/>
  <c r="E56" i="16"/>
  <c r="E57"/>
  <c r="E58"/>
  <c r="E59"/>
  <c r="AQ29" i="2"/>
  <c r="AQ14"/>
  <c r="CL18"/>
  <c r="AS17"/>
  <c r="AA24"/>
  <c r="G35" i="1"/>
  <c r="EC18" i="2"/>
  <c r="EB18"/>
  <c r="C14" i="14"/>
  <c r="F15" s="1"/>
  <c r="F35" i="15"/>
  <c r="E35"/>
  <c r="CI29" i="2"/>
  <c r="CI28"/>
  <c r="CI27"/>
  <c r="CI26"/>
  <c r="CI25"/>
  <c r="CI24"/>
  <c r="CI23"/>
  <c r="CI22"/>
  <c r="CI21"/>
  <c r="CI20"/>
  <c r="CI19"/>
  <c r="CI18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7" i="17"/>
  <c r="D56" i="15"/>
  <c r="D37" i="12"/>
  <c r="BR22" i="2" s="1"/>
  <c r="E15" i="5"/>
  <c r="E16"/>
  <c r="G9" i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G5"/>
  <c r="G38"/>
  <c r="C96" i="12"/>
  <c r="EQ22" i="2" s="1"/>
  <c r="D7" i="16"/>
  <c r="E43" i="9"/>
  <c r="F43"/>
  <c r="ER14" i="2"/>
  <c r="EL14"/>
  <c r="EH14"/>
  <c r="EB14"/>
  <c r="D52" i="4"/>
  <c r="D36" i="16"/>
  <c r="G41" i="1"/>
  <c r="D17" i="19"/>
  <c r="D32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58" i="9"/>
  <c r="AD23" i="2"/>
  <c r="I23"/>
  <c r="L23"/>
  <c r="I24"/>
  <c r="AD24"/>
  <c r="AQ28"/>
  <c r="AQ23"/>
  <c r="AQ20"/>
  <c r="AP21"/>
  <c r="AP15"/>
  <c r="E43" i="14"/>
  <c r="F43"/>
  <c r="C26" i="6"/>
  <c r="C65" i="5"/>
  <c r="DE23" i="2"/>
  <c r="DE31" s="1"/>
  <c r="D80" i="17"/>
  <c r="EI27" i="2" s="1"/>
  <c r="D78" i="12"/>
  <c r="D74" i="9"/>
  <c r="G12" i="1"/>
  <c r="C91" i="17"/>
  <c r="EQ27" i="2" s="1"/>
  <c r="DP14"/>
  <c r="D26" i="17"/>
  <c r="D32" i="18"/>
  <c r="C81" i="13"/>
  <c r="EK23" i="2" s="1"/>
  <c r="C26" i="11"/>
  <c r="C26" i="8"/>
  <c r="E67" i="18"/>
  <c r="C64" i="15"/>
  <c r="C82" i="8"/>
  <c r="E84"/>
  <c r="F84"/>
  <c r="CG23" i="2"/>
  <c r="CF23"/>
  <c r="F42" i="13"/>
  <c r="F43"/>
  <c r="E42"/>
  <c r="E43"/>
  <c r="F42" i="17"/>
  <c r="F43"/>
  <c r="E42"/>
  <c r="E43"/>
  <c r="CP27" i="2"/>
  <c r="D7" i="10"/>
  <c r="D7" i="8"/>
  <c r="C31" i="13"/>
  <c r="EL22" i="2"/>
  <c r="EK22"/>
  <c r="D96" i="8"/>
  <c r="EU18" i="2" s="1"/>
  <c r="D65" i="6"/>
  <c r="D65" i="5"/>
  <c r="CO27" i="2"/>
  <c r="D81" i="11"/>
  <c r="EL21" i="2" s="1"/>
  <c r="D66" i="9"/>
  <c r="F46" i="17"/>
  <c r="F47"/>
  <c r="F49"/>
  <c r="F50"/>
  <c r="F51"/>
  <c r="F52"/>
  <c r="E46"/>
  <c r="E47"/>
  <c r="E49"/>
  <c r="E50"/>
  <c r="E51"/>
  <c r="E52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8" i="1"/>
  <c r="F37"/>
  <c r="G36"/>
  <c r="F36"/>
  <c r="F32"/>
  <c r="G30"/>
  <c r="F29"/>
  <c r="F6"/>
  <c r="D12" i="6"/>
  <c r="C92" i="9"/>
  <c r="EN19" i="2" s="1"/>
  <c r="EC27"/>
  <c r="F78" i="11"/>
  <c r="F79"/>
  <c r="E78"/>
  <c r="E79"/>
  <c r="D92" i="9"/>
  <c r="EO19" i="2" s="1"/>
  <c r="F88" i="9"/>
  <c r="F89"/>
  <c r="F90"/>
  <c r="F91"/>
  <c r="F93"/>
  <c r="E88"/>
  <c r="E89"/>
  <c r="E90"/>
  <c r="E91"/>
  <c r="E93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N29" i="2" s="1"/>
  <c r="D34" i="19"/>
  <c r="BO29" i="2" s="1"/>
  <c r="E35" i="19"/>
  <c r="F35"/>
  <c r="E36"/>
  <c r="F36"/>
  <c r="E39"/>
  <c r="E40"/>
  <c r="F40"/>
  <c r="E41"/>
  <c r="F41"/>
  <c r="E42"/>
  <c r="F42"/>
  <c r="E43"/>
  <c r="F43"/>
  <c r="E44"/>
  <c r="F44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EC29" i="2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6"/>
  <c r="BQ27" i="2" s="1"/>
  <c r="D36" i="17"/>
  <c r="BR27" i="2" s="1"/>
  <c r="E37" i="17"/>
  <c r="F37"/>
  <c r="E38"/>
  <c r="F38"/>
  <c r="F41"/>
  <c r="E44"/>
  <c r="F44"/>
  <c r="E45"/>
  <c r="F45"/>
  <c r="C48"/>
  <c r="D48"/>
  <c r="D59"/>
  <c r="E61"/>
  <c r="F61"/>
  <c r="F62"/>
  <c r="E63"/>
  <c r="F63"/>
  <c r="E64"/>
  <c r="F64"/>
  <c r="E65"/>
  <c r="F65"/>
  <c r="E66"/>
  <c r="F66"/>
  <c r="C67"/>
  <c r="E68"/>
  <c r="F68"/>
  <c r="E70"/>
  <c r="F70"/>
  <c r="E71"/>
  <c r="F71"/>
  <c r="E72"/>
  <c r="F72"/>
  <c r="E73"/>
  <c r="F73"/>
  <c r="D75"/>
  <c r="EF27" i="2" s="1"/>
  <c r="E77" i="17"/>
  <c r="F77"/>
  <c r="E78"/>
  <c r="F78"/>
  <c r="E79"/>
  <c r="F79"/>
  <c r="C80"/>
  <c r="E81"/>
  <c r="F81"/>
  <c r="E82"/>
  <c r="F82"/>
  <c r="E83"/>
  <c r="F83"/>
  <c r="D84"/>
  <c r="C86"/>
  <c r="D86"/>
  <c r="EO27" i="2" s="1"/>
  <c r="E87" i="17"/>
  <c r="F87"/>
  <c r="E88"/>
  <c r="F88"/>
  <c r="E89"/>
  <c r="F89"/>
  <c r="F90"/>
  <c r="D91"/>
  <c r="ER27" i="2" s="1"/>
  <c r="F92" i="17"/>
  <c r="E93"/>
  <c r="F93"/>
  <c r="E94"/>
  <c r="E95"/>
  <c r="E96"/>
  <c r="C97"/>
  <c r="ET27" i="2" s="1"/>
  <c r="D97" i="17"/>
  <c r="EU27" i="2" s="1"/>
  <c r="E98" i="17"/>
  <c r="F98"/>
  <c r="E99"/>
  <c r="F99"/>
  <c r="E100"/>
  <c r="F100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D25" s="1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6"/>
  <c r="BQ23" i="2" s="1"/>
  <c r="D36" i="13"/>
  <c r="E37"/>
  <c r="F37"/>
  <c r="E38"/>
  <c r="F38"/>
  <c r="E41"/>
  <c r="F41"/>
  <c r="F44"/>
  <c r="E45"/>
  <c r="F45"/>
  <c r="E46"/>
  <c r="F46"/>
  <c r="E47"/>
  <c r="F47"/>
  <c r="F48"/>
  <c r="E49"/>
  <c r="F49"/>
  <c r="C56"/>
  <c r="E58"/>
  <c r="F58"/>
  <c r="F59"/>
  <c r="E60"/>
  <c r="F60"/>
  <c r="E61"/>
  <c r="F61"/>
  <c r="E62"/>
  <c r="F62"/>
  <c r="E63"/>
  <c r="F63"/>
  <c r="C64"/>
  <c r="E65"/>
  <c r="F65"/>
  <c r="EB23" i="2"/>
  <c r="EC23"/>
  <c r="E67" i="13"/>
  <c r="F67"/>
  <c r="E68"/>
  <c r="F68"/>
  <c r="E69"/>
  <c r="F69"/>
  <c r="E70"/>
  <c r="F70"/>
  <c r="C72"/>
  <c r="E74"/>
  <c r="F74"/>
  <c r="E75"/>
  <c r="F75"/>
  <c r="E76"/>
  <c r="F76"/>
  <c r="E78"/>
  <c r="F78"/>
  <c r="E79"/>
  <c r="F79"/>
  <c r="E80"/>
  <c r="F80"/>
  <c r="E82"/>
  <c r="C83"/>
  <c r="EN23" i="2" s="1"/>
  <c r="D83" i="13"/>
  <c r="E84"/>
  <c r="F84"/>
  <c r="E85"/>
  <c r="F85"/>
  <c r="E86"/>
  <c r="F86"/>
  <c r="F87"/>
  <c r="C88"/>
  <c r="EQ23" i="2" s="1"/>
  <c r="D88" i="13"/>
  <c r="ER23" i="2" s="1"/>
  <c r="E89" i="13"/>
  <c r="F89"/>
  <c r="E90"/>
  <c r="F90"/>
  <c r="E91"/>
  <c r="E92"/>
  <c r="E93"/>
  <c r="C94"/>
  <c r="ET23" i="2" s="1"/>
  <c r="D94" i="13"/>
  <c r="EU23" i="2" s="1"/>
  <c r="E95" i="13"/>
  <c r="F95"/>
  <c r="E96"/>
  <c r="F96"/>
  <c r="E97"/>
  <c r="F97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BF21" i="2" s="1"/>
  <c r="E32" i="11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F20" i="2" s="1"/>
  <c r="E32" i="10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BQ19" i="2" s="1"/>
  <c r="D37" i="9"/>
  <c r="BR19" i="2" s="1"/>
  <c r="E38" i="9"/>
  <c r="F38"/>
  <c r="E39"/>
  <c r="F39"/>
  <c r="E42"/>
  <c r="F42"/>
  <c r="E44"/>
  <c r="F44"/>
  <c r="E46"/>
  <c r="F46"/>
  <c r="E47"/>
  <c r="F47"/>
  <c r="E49"/>
  <c r="F49"/>
  <c r="F50"/>
  <c r="E51"/>
  <c r="F51"/>
  <c r="C58"/>
  <c r="E60"/>
  <c r="F60"/>
  <c r="F61"/>
  <c r="E62"/>
  <c r="F62"/>
  <c r="E63"/>
  <c r="F63"/>
  <c r="E64"/>
  <c r="F64"/>
  <c r="E65"/>
  <c r="F65"/>
  <c r="C66"/>
  <c r="E67"/>
  <c r="F67"/>
  <c r="EB19" i="2"/>
  <c r="E69" i="9"/>
  <c r="F69"/>
  <c r="E70"/>
  <c r="F70"/>
  <c r="E71"/>
  <c r="F71"/>
  <c r="E72"/>
  <c r="F72"/>
  <c r="C74"/>
  <c r="E75"/>
  <c r="F75"/>
  <c r="E76"/>
  <c r="F76"/>
  <c r="E78"/>
  <c r="F78"/>
  <c r="C79"/>
  <c r="D79"/>
  <c r="EI19" i="2" s="1"/>
  <c r="E80" i="9"/>
  <c r="F80"/>
  <c r="E81"/>
  <c r="F81"/>
  <c r="F82"/>
  <c r="E83"/>
  <c r="F83"/>
  <c r="C84"/>
  <c r="EK19" i="2" s="1"/>
  <c r="E85" i="9"/>
  <c r="F85"/>
  <c r="E86"/>
  <c r="F86"/>
  <c r="C87"/>
  <c r="D87"/>
  <c r="C94"/>
  <c r="D94"/>
  <c r="ER19" i="2" s="1"/>
  <c r="E95" i="9"/>
  <c r="F95"/>
  <c r="E96"/>
  <c r="F96"/>
  <c r="E97"/>
  <c r="E98"/>
  <c r="E99"/>
  <c r="C100"/>
  <c r="ET19" i="2" s="1"/>
  <c r="D100" i="9"/>
  <c r="EU19" i="2" s="1"/>
  <c r="E101" i="9"/>
  <c r="F101"/>
  <c r="E102"/>
  <c r="F102"/>
  <c r="E103"/>
  <c r="F103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BF18" i="2" s="1"/>
  <c r="E32" i="8"/>
  <c r="F32"/>
  <c r="E33"/>
  <c r="BG18" i="2" s="1"/>
  <c r="F33" i="8"/>
  <c r="BH18" i="2" s="1"/>
  <c r="BH31" s="1"/>
  <c r="BO18"/>
  <c r="E35" i="8"/>
  <c r="F35"/>
  <c r="C37"/>
  <c r="F38"/>
  <c r="F39"/>
  <c r="E42"/>
  <c r="F42"/>
  <c r="E44"/>
  <c r="F44"/>
  <c r="E46"/>
  <c r="F46"/>
  <c r="E47"/>
  <c r="F47"/>
  <c r="C57"/>
  <c r="D57"/>
  <c r="E59"/>
  <c r="F59"/>
  <c r="F60"/>
  <c r="E61"/>
  <c r="F61"/>
  <c r="E62"/>
  <c r="F62"/>
  <c r="E63"/>
  <c r="F63"/>
  <c r="E64"/>
  <c r="F64"/>
  <c r="C65"/>
  <c r="DY18" i="2" s="1"/>
  <c r="D65" i="8"/>
  <c r="DZ18" i="2" s="1"/>
  <c r="E66" i="8"/>
  <c r="F66"/>
  <c r="E68"/>
  <c r="F68"/>
  <c r="E69"/>
  <c r="F69"/>
  <c r="E70"/>
  <c r="F70"/>
  <c r="E71"/>
  <c r="F71"/>
  <c r="D73"/>
  <c r="EF18" i="2" s="1"/>
  <c r="E74" i="8"/>
  <c r="F74"/>
  <c r="F75"/>
  <c r="E76"/>
  <c r="F76"/>
  <c r="E77"/>
  <c r="F77"/>
  <c r="D78"/>
  <c r="EI18" i="2" s="1"/>
  <c r="E79" i="8"/>
  <c r="F79"/>
  <c r="E80"/>
  <c r="F80"/>
  <c r="E83"/>
  <c r="F83"/>
  <c r="C85"/>
  <c r="EN18" i="2" s="1"/>
  <c r="D85" i="8"/>
  <c r="E86"/>
  <c r="F86"/>
  <c r="E87"/>
  <c r="F87"/>
  <c r="E88"/>
  <c r="F88"/>
  <c r="F89"/>
  <c r="C90"/>
  <c r="EQ18" i="2" s="1"/>
  <c r="D90" i="8"/>
  <c r="ER18" i="2" s="1"/>
  <c r="E91" i="8"/>
  <c r="F91"/>
  <c r="E92"/>
  <c r="F92"/>
  <c r="E93"/>
  <c r="E94"/>
  <c r="E95"/>
  <c r="C96"/>
  <c r="ET18" i="2" s="1"/>
  <c r="E97" i="8"/>
  <c r="F97"/>
  <c r="E98"/>
  <c r="F98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E37"/>
  <c r="F37"/>
  <c r="D38"/>
  <c r="BR16" i="2" s="1"/>
  <c r="C38" i="6"/>
  <c r="E39"/>
  <c r="E40"/>
  <c r="F40"/>
  <c r="F42"/>
  <c r="E43"/>
  <c r="F43"/>
  <c r="E44"/>
  <c r="F44"/>
  <c r="E45"/>
  <c r="F45"/>
  <c r="E48"/>
  <c r="F48"/>
  <c r="E49"/>
  <c r="F49"/>
  <c r="F50"/>
  <c r="E51"/>
  <c r="F51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F34"/>
  <c r="C34" s="1"/>
  <c r="F39"/>
  <c r="C39" s="1"/>
  <c r="F40"/>
  <c r="C40" s="1"/>
  <c r="G40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J16"/>
  <c r="BV16"/>
  <c r="BY16"/>
  <c r="CC16"/>
  <c r="CD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E24" i="1"/>
  <c r="F24"/>
  <c r="F26"/>
  <c r="C26" s="1"/>
  <c r="G26"/>
  <c r="E32"/>
  <c r="E33"/>
  <c r="E36"/>
  <c r="AO22" i="2"/>
  <c r="AO29"/>
  <c r="AO27"/>
  <c r="AO26"/>
  <c r="F39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2" i="6"/>
  <c r="E77" i="9"/>
  <c r="F75" i="11"/>
  <c r="E77" i="12"/>
  <c r="F76" i="17"/>
  <c r="C75"/>
  <c r="EE27" i="2" s="1"/>
  <c r="E76" i="17"/>
  <c r="E81" i="8"/>
  <c r="F81"/>
  <c r="E75"/>
  <c r="CC20" i="2"/>
  <c r="C72" i="12"/>
  <c r="C38" i="19"/>
  <c r="F39"/>
  <c r="D25" i="17" l="1"/>
  <c r="D25" i="13"/>
  <c r="CO31" i="2"/>
  <c r="CO33" s="1"/>
  <c r="D25" i="16"/>
  <c r="CQ29" i="2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C25" i="16"/>
  <c r="D99" i="8"/>
  <c r="EH27" i="2"/>
  <c r="EJ27" s="1"/>
  <c r="BP25"/>
  <c r="BP18"/>
  <c r="BP28"/>
  <c r="BZ14"/>
  <c r="BZ16"/>
  <c r="BA16"/>
  <c r="C94" i="4"/>
  <c r="J31" i="2"/>
  <c r="J33" s="1"/>
  <c r="E64" i="11"/>
  <c r="D25" i="19"/>
  <c r="D95"/>
  <c r="E14" i="12"/>
  <c r="EQ29" i="2"/>
  <c r="ES29" s="1"/>
  <c r="F17" i="14"/>
  <c r="C98" i="12"/>
  <c r="D98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E41" i="9"/>
  <c r="EB15" i="2"/>
  <c r="ED15" s="1"/>
  <c r="E5" i="12"/>
  <c r="F55" i="16"/>
  <c r="E41" i="8"/>
  <c r="CK27" i="2"/>
  <c r="E72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7" i="5"/>
  <c r="C25"/>
  <c r="CH23" i="2"/>
  <c r="Z20"/>
  <c r="E56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2"/>
  <c r="CN18" i="2"/>
  <c r="F57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4"/>
  <c r="Q22" i="2"/>
  <c r="E94" i="11"/>
  <c r="F41" i="9"/>
  <c r="E20"/>
  <c r="F37"/>
  <c r="F87"/>
  <c r="F7" i="8"/>
  <c r="ES18" i="2"/>
  <c r="F14" i="8"/>
  <c r="F80" i="7"/>
  <c r="E38" i="6"/>
  <c r="E35"/>
  <c r="CE15" i="2"/>
  <c r="AF15"/>
  <c r="W15"/>
  <c r="EP15"/>
  <c r="E84" i="4"/>
  <c r="E73"/>
  <c r="D4"/>
  <c r="D37" s="1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2" i="8"/>
  <c r="F17" i="7"/>
  <c r="DJ16" i="2"/>
  <c r="F38" i="6"/>
  <c r="F86"/>
  <c r="C4"/>
  <c r="DR15" i="2"/>
  <c r="BO15"/>
  <c r="F20" i="5"/>
  <c r="DX14" i="2"/>
  <c r="CE14"/>
  <c r="E7" i="19"/>
  <c r="D4"/>
  <c r="E34"/>
  <c r="AC29" i="2"/>
  <c r="DK29"/>
  <c r="DH29" s="1"/>
  <c r="E84" i="18"/>
  <c r="F80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4" i="13"/>
  <c r="DO23" i="2"/>
  <c r="F56" i="13"/>
  <c r="D98"/>
  <c r="F88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6" i="9"/>
  <c r="DK19" i="2"/>
  <c r="DX19"/>
  <c r="Q19"/>
  <c r="K19"/>
  <c r="E67" i="8"/>
  <c r="CE18" i="2"/>
  <c r="K18"/>
  <c r="BL31"/>
  <c r="E90" i="8"/>
  <c r="EA18" i="2"/>
  <c r="AR18"/>
  <c r="E7" i="6"/>
  <c r="E32"/>
  <c r="F12"/>
  <c r="F86" i="5"/>
  <c r="E20"/>
  <c r="DO15" i="2"/>
  <c r="E20" i="4"/>
  <c r="CK14" i="2"/>
  <c r="Z14"/>
  <c r="E14" i="4"/>
  <c r="E7"/>
  <c r="F31"/>
  <c r="F29" i="19"/>
  <c r="E29"/>
  <c r="E12"/>
  <c r="E26"/>
  <c r="AI29" i="2"/>
  <c r="F31" i="19"/>
  <c r="E91"/>
  <c r="DO29" i="2"/>
  <c r="W29"/>
  <c r="E17" i="18"/>
  <c r="E7"/>
  <c r="Z28" i="2"/>
  <c r="E80" i="17"/>
  <c r="E48"/>
  <c r="DX27" i="2"/>
  <c r="E36" i="17"/>
  <c r="EV27" i="2"/>
  <c r="F31" i="17"/>
  <c r="W27" i="2"/>
  <c r="E97" i="17"/>
  <c r="F97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6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7" i="9"/>
  <c r="E66"/>
  <c r="DO19" i="2"/>
  <c r="E34" i="9"/>
  <c r="F26"/>
  <c r="EV18" i="2"/>
  <c r="EJ18"/>
  <c r="F20" i="8"/>
  <c r="E96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3" i="5"/>
  <c r="EP16" i="2"/>
  <c r="E80" i="6"/>
  <c r="F17"/>
  <c r="F87" i="7"/>
  <c r="F29"/>
  <c r="F5"/>
  <c r="E57" i="8"/>
  <c r="E17"/>
  <c r="E79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91" i="17"/>
  <c r="E12"/>
  <c r="C4"/>
  <c r="E5"/>
  <c r="E20" i="18"/>
  <c r="E5" i="19"/>
  <c r="C4" i="14"/>
  <c r="F31" i="13"/>
  <c r="E74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8" i="8"/>
  <c r="H20" i="1"/>
  <c r="CT15" i="2"/>
  <c r="E67" i="6"/>
  <c r="AF27" i="2"/>
  <c r="AF25"/>
  <c r="N25"/>
  <c r="T24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3" i="8"/>
  <c r="D98" i="11"/>
  <c r="F56"/>
  <c r="F58" i="9"/>
  <c r="E56" i="12"/>
  <c r="F59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BR26" i="2"/>
  <c r="AQ31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8" i="8"/>
  <c r="AC15" i="2"/>
  <c r="EU14"/>
  <c r="EV14" s="1"/>
  <c r="ES17"/>
  <c r="E7" i="13"/>
  <c r="F34" i="9"/>
  <c r="E34" i="15"/>
  <c r="F95" i="18"/>
  <c r="DO17" i="2"/>
  <c r="F92" i="9"/>
  <c r="G34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6" i="13"/>
  <c r="F73" i="8"/>
  <c r="C99"/>
  <c r="D98" i="14"/>
  <c r="E81" i="13"/>
  <c r="E20" i="12"/>
  <c r="F83" i="15"/>
  <c r="E91" i="5"/>
  <c r="F17" i="15"/>
  <c r="EU17" i="2"/>
  <c r="EV17" s="1"/>
  <c r="E84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4" i="13"/>
  <c r="F17" i="18"/>
  <c r="DR14" i="2"/>
  <c r="F17" i="11"/>
  <c r="F84" i="6"/>
  <c r="F77" i="13"/>
  <c r="F80" i="16"/>
  <c r="F61" i="19"/>
  <c r="E14" i="18"/>
  <c r="F20" i="14"/>
  <c r="Q25" i="2"/>
  <c r="CK25"/>
  <c r="Z22"/>
  <c r="EK20"/>
  <c r="EM20" s="1"/>
  <c r="EH16"/>
  <c r="EJ16" s="1"/>
  <c r="E58" i="9"/>
  <c r="F7"/>
  <c r="E64" i="15"/>
  <c r="F81" i="13"/>
  <c r="E93" i="7"/>
  <c r="E5" i="6"/>
  <c r="D25" i="10"/>
  <c r="DN31" i="2"/>
  <c r="DN33" s="1"/>
  <c r="E37" i="12"/>
  <c r="F64"/>
  <c r="EC28" i="2"/>
  <c r="AU24"/>
  <c r="AR16"/>
  <c r="E65" i="6"/>
  <c r="DJ18" i="2"/>
  <c r="F17" i="19"/>
  <c r="E29" i="4"/>
  <c r="E80" i="16"/>
  <c r="E100" i="9"/>
  <c r="DJ19" i="2"/>
  <c r="F14" i="4"/>
  <c r="E77" i="15"/>
  <c r="E94"/>
  <c r="E82" i="12"/>
  <c r="E78" i="19"/>
  <c r="F29" i="10"/>
  <c r="E84"/>
  <c r="F67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7" i="6"/>
  <c r="N28" i="2"/>
  <c r="D97" i="7"/>
  <c r="AI28" i="2"/>
  <c r="CN21"/>
  <c r="K14"/>
  <c r="EA28"/>
  <c r="CK21"/>
  <c r="F57" i="6"/>
  <c r="F7"/>
  <c r="DM31" i="2"/>
  <c r="DM33" s="1"/>
  <c r="CE26"/>
  <c r="CA26"/>
  <c r="CA29"/>
  <c r="CA28"/>
  <c r="CA27"/>
  <c r="CA24"/>
  <c r="CA23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7" i="13"/>
  <c r="F91" i="6"/>
  <c r="H36" i="1"/>
  <c r="CH18" i="2"/>
  <c r="F17" i="10"/>
  <c r="F56" i="12"/>
  <c r="CH14" i="2"/>
  <c r="F12" i="14"/>
  <c r="F12" i="17"/>
  <c r="E5" i="18"/>
  <c r="E7" i="14"/>
  <c r="E7" i="15"/>
  <c r="T22" i="2"/>
  <c r="F5" i="8"/>
  <c r="F30" i="1"/>
  <c r="H30" s="1"/>
  <c r="F37" i="5"/>
  <c r="E82" i="7"/>
  <c r="EN17" i="2"/>
  <c r="EP17" s="1"/>
  <c r="F37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9" i="17"/>
  <c r="AU28" i="2"/>
  <c r="AR14"/>
  <c r="AR25"/>
  <c r="BA14"/>
  <c r="F14"/>
  <c r="CE24"/>
  <c r="T21"/>
  <c r="F12" i="19"/>
  <c r="F41" i="12"/>
  <c r="E41"/>
  <c r="F40" i="17"/>
  <c r="E40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7" i="9"/>
  <c r="F48" i="17"/>
  <c r="F36"/>
  <c r="E72" i="12"/>
  <c r="AC26" i="2"/>
  <c r="DU24"/>
  <c r="CH24"/>
  <c r="AO19"/>
  <c r="N19"/>
  <c r="DU18"/>
  <c r="E86" i="6"/>
  <c r="F17" i="9"/>
  <c r="F82" i="10"/>
  <c r="E5"/>
  <c r="E88" i="13"/>
  <c r="F82" i="16"/>
  <c r="G24" i="2"/>
  <c r="E9" i="1"/>
  <c r="AK31" i="2"/>
  <c r="EE22"/>
  <c r="EG22" s="1"/>
  <c r="E75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5" i="6"/>
  <c r="F35"/>
  <c r="E29" i="7"/>
  <c r="E17"/>
  <c r="F65" i="8"/>
  <c r="E31"/>
  <c r="F29" i="11"/>
  <c r="E84" i="12"/>
  <c r="EM24" i="2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6" i="17"/>
  <c r="E59"/>
  <c r="E20"/>
  <c r="F78" i="19"/>
  <c r="F20"/>
  <c r="H38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5" i="8"/>
  <c r="F89" i="10"/>
  <c r="F14"/>
  <c r="F84" i="12"/>
  <c r="F5" i="13"/>
  <c r="F83" i="14"/>
  <c r="E26" i="15"/>
  <c r="F12"/>
  <c r="E31" i="16"/>
  <c r="F20" i="17"/>
  <c r="F65" i="18"/>
  <c r="E20" i="19"/>
  <c r="Z26" i="2"/>
  <c r="E64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90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9" i="9"/>
  <c r="E5"/>
  <c r="F5"/>
  <c r="E77" i="10"/>
  <c r="EI20" i="2"/>
  <c r="EI21"/>
  <c r="EJ21" s="1"/>
  <c r="E77" i="11"/>
  <c r="E31"/>
  <c r="E26"/>
  <c r="F26"/>
  <c r="E32" i="12"/>
  <c r="F32"/>
  <c r="E36" i="13"/>
  <c r="BR23" i="2"/>
  <c r="BS23" s="1"/>
  <c r="F36" i="13"/>
  <c r="E14"/>
  <c r="F14"/>
  <c r="F20" i="16"/>
  <c r="E20"/>
  <c r="E29" i="17"/>
  <c r="F29"/>
  <c r="E61" i="19"/>
  <c r="DY29" i="2"/>
  <c r="EA29" s="1"/>
  <c r="EK18"/>
  <c r="E82" i="8"/>
  <c r="C25"/>
  <c r="F26"/>
  <c r="G16" i="1"/>
  <c r="E68" i="9"/>
  <c r="EC19" i="2"/>
  <c r="F68" i="9"/>
  <c r="E66" i="11"/>
  <c r="F66"/>
  <c r="EC21" i="2"/>
  <c r="E77" i="4"/>
  <c r="EK14" i="2"/>
  <c r="F77" i="4"/>
  <c r="C72" i="15"/>
  <c r="C98" s="1"/>
  <c r="E75"/>
  <c r="C71" i="16"/>
  <c r="F72"/>
  <c r="E72"/>
  <c r="C84" i="17"/>
  <c r="E84" s="1"/>
  <c r="F85"/>
  <c r="E85"/>
  <c r="E77" i="18"/>
  <c r="C73"/>
  <c r="F77"/>
  <c r="E64"/>
  <c r="C57"/>
  <c r="F64"/>
  <c r="C74" i="19"/>
  <c r="C95" s="1"/>
  <c r="F77"/>
  <c r="H11" i="1"/>
  <c r="D101" i="6"/>
  <c r="F94" i="9"/>
  <c r="E89" i="10"/>
  <c r="EV23" i="2"/>
  <c r="F65" i="5"/>
  <c r="E32" i="18"/>
  <c r="CK18" i="2"/>
  <c r="G13" i="1"/>
  <c r="BF14" i="2"/>
  <c r="E31" i="4"/>
  <c r="E5" i="5"/>
  <c r="F5"/>
  <c r="ET16" i="2"/>
  <c r="E97" i="6"/>
  <c r="E14"/>
  <c r="D4"/>
  <c r="F14"/>
  <c r="EQ19" i="2"/>
  <c r="E94" i="9"/>
  <c r="EE19" i="2"/>
  <c r="C104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1" i="19"/>
  <c r="F35" i="1"/>
  <c r="E12" i="11"/>
  <c r="F12"/>
  <c r="EE15" i="2"/>
  <c r="F73" i="5"/>
  <c r="D101" i="17"/>
  <c r="E67"/>
  <c r="F67"/>
  <c r="F76" i="16"/>
  <c r="E76"/>
  <c r="EI26" i="2"/>
  <c r="E53" i="19"/>
  <c r="F53"/>
  <c r="E82" i="18"/>
  <c r="EL28" i="2"/>
  <c r="EM28" s="1"/>
  <c r="F82" i="18"/>
  <c r="F39" i="4"/>
  <c r="E76" i="6"/>
  <c r="C73"/>
  <c r="F76"/>
  <c r="E73" i="7"/>
  <c r="F73"/>
  <c r="F79"/>
  <c r="C76"/>
  <c r="CR31" i="2"/>
  <c r="CR33" s="1"/>
  <c r="CT19"/>
  <c r="F75" i="17"/>
  <c r="CN28" i="2"/>
  <c r="F31" i="8"/>
  <c r="E17" i="9"/>
  <c r="F31" i="11"/>
  <c r="C98" i="13"/>
  <c r="F88" i="14"/>
  <c r="C25"/>
  <c r="E14" i="16"/>
  <c r="D104" i="9"/>
  <c r="ES22" i="2"/>
  <c r="DK16"/>
  <c r="DX16"/>
  <c r="F19" i="1"/>
  <c r="C19" s="1"/>
  <c r="F7"/>
  <c r="EH15" i="2"/>
  <c r="F78" i="5"/>
  <c r="E78"/>
  <c r="E14" i="7"/>
  <c r="F14"/>
  <c r="AY18" i="2"/>
  <c r="F29" i="8"/>
  <c r="E29"/>
  <c r="E84" i="9"/>
  <c r="F84"/>
  <c r="EL19" i="2"/>
  <c r="F12" i="10"/>
  <c r="C4"/>
  <c r="F64" i="11"/>
  <c r="E20"/>
  <c r="F20"/>
  <c r="E5"/>
  <c r="F5"/>
  <c r="F17" i="12"/>
  <c r="C4"/>
  <c r="E17"/>
  <c r="F83" i="13"/>
  <c r="EO23" i="2"/>
  <c r="EP23" s="1"/>
  <c r="E83" i="13"/>
  <c r="EE23" i="2"/>
  <c r="F72" i="13"/>
  <c r="F56" i="14"/>
  <c r="E56"/>
  <c r="E12"/>
  <c r="D4"/>
  <c r="EL27" i="2"/>
  <c r="D4" i="17"/>
  <c r="F14"/>
  <c r="E14"/>
  <c r="F30" i="18"/>
  <c r="E30"/>
  <c r="C25"/>
  <c r="E14" i="19"/>
  <c r="F14"/>
  <c r="F74" i="9"/>
  <c r="EF19" i="2"/>
  <c r="E52" i="4"/>
  <c r="F52"/>
  <c r="DK20" i="2"/>
  <c r="DR20"/>
  <c r="DO14"/>
  <c r="DK14"/>
  <c r="F35" i="12"/>
  <c r="E35"/>
  <c r="E40" i="13"/>
  <c r="F40"/>
  <c r="E7" i="5"/>
  <c r="F7"/>
  <c r="EB27" i="2"/>
  <c r="F69" i="17"/>
  <c r="E13" i="7"/>
  <c r="Y17" i="2"/>
  <c r="F13" i="7"/>
  <c r="Y19" i="2"/>
  <c r="G19" s="1"/>
  <c r="E13" i="9"/>
  <c r="D12"/>
  <c r="F96" i="8"/>
  <c r="CE23" i="2"/>
  <c r="K22"/>
  <c r="E17" i="5"/>
  <c r="F17"/>
  <c r="E63" i="7"/>
  <c r="F63"/>
  <c r="F85" i="8"/>
  <c r="E85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6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3" i="13"/>
  <c r="F73"/>
  <c r="C72" i="14"/>
  <c r="F75"/>
  <c r="F100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AU19" l="1"/>
  <c r="AS31"/>
  <c r="AS33" s="1"/>
  <c r="F24"/>
  <c r="C24" s="1"/>
  <c r="F29"/>
  <c r="C29" s="1"/>
  <c r="F21"/>
  <c r="F18"/>
  <c r="F17"/>
  <c r="C17" s="1"/>
  <c r="C101" i="17"/>
  <c r="BP15" i="2"/>
  <c r="D37" i="19"/>
  <c r="D48" s="1"/>
  <c r="D49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1" i="6"/>
  <c r="C52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9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9" i="17"/>
  <c r="C54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R31" i="2"/>
  <c r="E4" i="15"/>
  <c r="D40"/>
  <c r="D51" s="1"/>
  <c r="DL25" i="2"/>
  <c r="D29"/>
  <c r="EX29" s="1"/>
  <c r="J25" i="1"/>
  <c r="DH16" i="2"/>
  <c r="ED28"/>
  <c r="F25" i="10"/>
  <c r="D25" i="2"/>
  <c r="AP31"/>
  <c r="H34" i="1"/>
  <c r="E34"/>
  <c r="K31" i="2"/>
  <c r="BQ31"/>
  <c r="DG18"/>
  <c r="D39" i="11"/>
  <c r="D51" s="1"/>
  <c r="DG23" i="2"/>
  <c r="J5" i="1"/>
  <c r="C39" i="13"/>
  <c r="C51" s="1"/>
  <c r="E99" i="8"/>
  <c r="D20" i="2"/>
  <c r="Q31"/>
  <c r="D24"/>
  <c r="I7" i="1"/>
  <c r="C7" s="1"/>
  <c r="E25" i="9"/>
  <c r="EM18" i="2"/>
  <c r="C20"/>
  <c r="C14"/>
  <c r="J6" i="1"/>
  <c r="Z19" i="2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AX32" i="2"/>
  <c r="AX33" s="1"/>
  <c r="F25" i="5"/>
  <c r="CN31" i="2"/>
  <c r="C40" i="18"/>
  <c r="AC31" i="2"/>
  <c r="J8" i="1"/>
  <c r="W31" i="2"/>
  <c r="CE31"/>
  <c r="AU18"/>
  <c r="DH20"/>
  <c r="DC31"/>
  <c r="DB32"/>
  <c r="DB33" s="1"/>
  <c r="CB15"/>
  <c r="F4" i="18"/>
  <c r="E4"/>
  <c r="J30" i="1"/>
  <c r="DL28" i="2"/>
  <c r="E25" i="18"/>
  <c r="E25" i="10"/>
  <c r="C40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2"/>
  <c r="CV33" s="1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1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8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5" i="1"/>
  <c r="E35" s="1"/>
  <c r="F28"/>
  <c r="H35"/>
  <c r="F4"/>
  <c r="H5"/>
  <c r="ED14" i="2"/>
  <c r="EC31"/>
  <c r="EC33" s="1"/>
  <c r="D19"/>
  <c r="H19"/>
  <c r="D4" i="7"/>
  <c r="F12"/>
  <c r="E12"/>
  <c r="D39" i="17"/>
  <c r="F4"/>
  <c r="E4"/>
  <c r="E4" i="14"/>
  <c r="F4"/>
  <c r="EM19" i="2"/>
  <c r="EL31"/>
  <c r="EL33" s="1"/>
  <c r="F104" i="9"/>
  <c r="E104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40" i="8"/>
  <c r="F4"/>
  <c r="E4"/>
  <c r="H39" i="1"/>
  <c r="G28"/>
  <c r="E98" i="13"/>
  <c r="F72" i="10"/>
  <c r="C99"/>
  <c r="E99" s="1"/>
  <c r="F25" i="18"/>
  <c r="DL20" i="2"/>
  <c r="C40" i="8"/>
  <c r="C52" s="1"/>
  <c r="D39" i="13"/>
  <c r="F25"/>
  <c r="E25"/>
  <c r="CB21" i="2"/>
  <c r="D21"/>
  <c r="EK27"/>
  <c r="DG27" s="1"/>
  <c r="E16" i="1"/>
  <c r="G14"/>
  <c r="H16"/>
  <c r="E4" i="19"/>
  <c r="C37"/>
  <c r="C48" s="1"/>
  <c r="F4"/>
  <c r="H7" i="1"/>
  <c r="F25" i="14"/>
  <c r="E25"/>
  <c r="I25" i="1"/>
  <c r="C25" s="1"/>
  <c r="CT31" i="2"/>
  <c r="E38" i="4"/>
  <c r="F38"/>
  <c r="EJ26" i="2"/>
  <c r="DH26"/>
  <c r="BS25"/>
  <c r="EV20"/>
  <c r="EU31"/>
  <c r="BB32"/>
  <c r="BB33" s="1"/>
  <c r="BD31"/>
  <c r="F73" i="6"/>
  <c r="F84" i="17"/>
  <c r="DH23" i="2"/>
  <c r="DH18"/>
  <c r="DL21"/>
  <c r="CB22"/>
  <c r="CA31"/>
  <c r="CA33" s="1"/>
  <c r="BJ32"/>
  <c r="BJ33" s="1"/>
  <c r="DX31"/>
  <c r="DH27"/>
  <c r="DL27"/>
  <c r="J12" i="1"/>
  <c r="AI31" i="2"/>
  <c r="DJ31"/>
  <c r="DJ33" s="1"/>
  <c r="C52" i="13" l="1"/>
  <c r="C52" i="12"/>
  <c r="D53" i="18"/>
  <c r="F51" i="11"/>
  <c r="E10" i="1"/>
  <c r="C53" i="8"/>
  <c r="DK33" i="2"/>
  <c r="I15" i="1"/>
  <c r="C15" s="1"/>
  <c r="AP33" i="2"/>
  <c r="AO33"/>
  <c r="J17" i="1"/>
  <c r="AZ33" i="2"/>
  <c r="I30" i="1"/>
  <c r="C30" s="1"/>
  <c r="E30" s="1"/>
  <c r="DY33" i="2"/>
  <c r="I20" i="1"/>
  <c r="C20" s="1"/>
  <c r="BN33" i="2"/>
  <c r="EN33"/>
  <c r="D52" i="15"/>
  <c r="D52" i="11"/>
  <c r="D52" i="10"/>
  <c r="C53" i="9"/>
  <c r="C54" s="1"/>
  <c r="C55" i="17"/>
  <c r="EW23" i="2"/>
  <c r="DG28"/>
  <c r="EW28" s="1"/>
  <c r="F25" i="16"/>
  <c r="E16" i="2"/>
  <c r="EX25"/>
  <c r="E28"/>
  <c r="C39" i="16"/>
  <c r="C50" s="1"/>
  <c r="BM32" i="2"/>
  <c r="BM33" s="1"/>
  <c r="EW20"/>
  <c r="J20" i="1"/>
  <c r="C53" i="6"/>
  <c r="BP31" i="2"/>
  <c r="H16"/>
  <c r="DI14"/>
  <c r="EW19"/>
  <c r="EA31"/>
  <c r="DG21"/>
  <c r="DI21" s="1"/>
  <c r="EW14"/>
  <c r="EW22"/>
  <c r="C51" i="7"/>
  <c r="F101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E8" i="1"/>
  <c r="EX28" i="2"/>
  <c r="BQ32"/>
  <c r="BQ33" s="1"/>
  <c r="F40" i="18"/>
  <c r="K5" i="1"/>
  <c r="C4"/>
  <c r="EW27" i="2"/>
  <c r="J29" i="1"/>
  <c r="D51" i="16"/>
  <c r="K10" i="1"/>
  <c r="H14"/>
  <c r="AR31" i="2"/>
  <c r="H29"/>
  <c r="EX24"/>
  <c r="E29"/>
  <c r="EX18"/>
  <c r="I37" i="1"/>
  <c r="E39" i="11"/>
  <c r="E101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AU31" i="2"/>
  <c r="H28" i="1"/>
  <c r="EK31" i="2"/>
  <c r="E95" i="19"/>
  <c r="DG17" i="2"/>
  <c r="EW17" s="1"/>
  <c r="EM27"/>
  <c r="H21"/>
  <c r="C21"/>
  <c r="E21" s="1"/>
  <c r="F39" i="13"/>
  <c r="D51"/>
  <c r="E39"/>
  <c r="H23" i="2"/>
  <c r="D23"/>
  <c r="F97" i="16"/>
  <c r="E97"/>
  <c r="E4" i="7"/>
  <c r="D39"/>
  <c r="F4"/>
  <c r="H4" i="1"/>
  <c r="F23"/>
  <c r="F27" s="1"/>
  <c r="J33"/>
  <c r="F98" i="15"/>
  <c r="E98"/>
  <c r="F99" i="18"/>
  <c r="E99"/>
  <c r="D17" i="2"/>
  <c r="H17"/>
  <c r="ET33"/>
  <c r="I41" i="1"/>
  <c r="DG16" i="2"/>
  <c r="EG16"/>
  <c r="EE31"/>
  <c r="EE33" s="1"/>
  <c r="E98" i="14"/>
  <c r="F98"/>
  <c r="F47" i="4"/>
  <c r="E47"/>
  <c r="D48"/>
  <c r="BD32" i="2"/>
  <c r="BD33" s="1"/>
  <c r="E37" i="19"/>
  <c r="F37"/>
  <c r="E39" i="1"/>
  <c r="J21"/>
  <c r="BS31" i="2"/>
  <c r="I38" i="1"/>
  <c r="ES31" i="2"/>
  <c r="J31" i="1"/>
  <c r="ED31" i="2"/>
  <c r="BA31"/>
  <c r="I17" i="1"/>
  <c r="C17" s="1"/>
  <c r="J32"/>
  <c r="I31"/>
  <c r="C31" s="1"/>
  <c r="EG25" i="2"/>
  <c r="DG25"/>
  <c r="DI25" s="1"/>
  <c r="J18" i="1"/>
  <c r="BG31" i="2"/>
  <c r="E41" i="6"/>
  <c r="F41"/>
  <c r="D52"/>
  <c r="E15" i="2"/>
  <c r="EX15"/>
  <c r="E98" i="11"/>
  <c r="F98"/>
  <c r="EG24" i="2"/>
  <c r="DG24"/>
  <c r="DI19"/>
  <c r="F99" i="10"/>
  <c r="G23" i="1"/>
  <c r="G27" s="1"/>
  <c r="E5"/>
  <c r="DI18" i="2"/>
  <c r="EH31"/>
  <c r="EH33" s="1"/>
  <c r="C52" i="11"/>
  <c r="E51"/>
  <c r="J41" i="1"/>
  <c r="EU33" i="2"/>
  <c r="EV31"/>
  <c r="EX26"/>
  <c r="F40" i="8"/>
  <c r="D52"/>
  <c r="E40"/>
  <c r="DG26" i="2"/>
  <c r="EW26" s="1"/>
  <c r="EG26"/>
  <c r="J36" i="1"/>
  <c r="E19" i="2"/>
  <c r="EX19"/>
  <c r="C18"/>
  <c r="H18"/>
  <c r="F31"/>
  <c r="F33" s="1"/>
  <c r="J37" i="1"/>
  <c r="EP31" i="2"/>
  <c r="E4" i="9"/>
  <c r="F4"/>
  <c r="D40"/>
  <c r="F40" i="12"/>
  <c r="D51"/>
  <c r="E40"/>
  <c r="E101" i="17"/>
  <c r="H25" i="2"/>
  <c r="C25"/>
  <c r="K25" i="1"/>
  <c r="E25"/>
  <c r="EJ29" i="2"/>
  <c r="DG29"/>
  <c r="F40" i="14"/>
  <c r="D51"/>
  <c r="E40"/>
  <c r="D54" i="17"/>
  <c r="E39"/>
  <c r="F39"/>
  <c r="H14" i="2"/>
  <c r="G31"/>
  <c r="G33" s="1"/>
  <c r="D14"/>
  <c r="EW15"/>
  <c r="DI15"/>
  <c r="C51" i="10"/>
  <c r="F39"/>
  <c r="E39"/>
  <c r="J7" i="1"/>
  <c r="Z31" i="2"/>
  <c r="F101" i="17"/>
  <c r="C52" i="14"/>
  <c r="I29" i="1"/>
  <c r="C29" s="1"/>
  <c r="EX27" i="2"/>
  <c r="DI27"/>
  <c r="K12" i="1"/>
  <c r="DH31" i="2"/>
  <c r="DH33" s="1"/>
  <c r="DL31"/>
  <c r="CB31"/>
  <c r="J24" i="1"/>
  <c r="F43" l="1"/>
  <c r="J4"/>
  <c r="K4" s="1"/>
  <c r="E50" i="16"/>
  <c r="C53" i="18"/>
  <c r="E20" i="1"/>
  <c r="E37"/>
  <c r="K30"/>
  <c r="EM31" i="2"/>
  <c r="EK33"/>
  <c r="C52" i="15"/>
  <c r="E31" i="1"/>
  <c r="E29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3" i="6"/>
  <c r="E51" i="15"/>
  <c r="F51"/>
  <c r="D53" i="5"/>
  <c r="E52"/>
  <c r="F52"/>
  <c r="I36" i="1"/>
  <c r="K36" s="1"/>
  <c r="K15"/>
  <c r="E15"/>
  <c r="EY15" i="2"/>
  <c r="DI26"/>
  <c r="EW21"/>
  <c r="EY21" s="1"/>
  <c r="DG31"/>
  <c r="J28" i="1"/>
  <c r="K17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40" i="9"/>
  <c r="D53"/>
  <c r="F40"/>
  <c r="E23" i="2"/>
  <c r="EX23"/>
  <c r="EY23" s="1"/>
  <c r="EG31"/>
  <c r="K31" i="1"/>
  <c r="F39" i="7"/>
  <c r="D50"/>
  <c r="E39"/>
  <c r="I33" i="1"/>
  <c r="K33" s="1"/>
  <c r="EX17" i="2"/>
  <c r="EY17" s="1"/>
  <c r="E17"/>
  <c r="D52" i="13"/>
  <c r="E51"/>
  <c r="F51"/>
  <c r="E7" i="1"/>
  <c r="K7"/>
  <c r="F52" i="8"/>
  <c r="D53"/>
  <c r="E52"/>
  <c r="E52" i="6"/>
  <c r="F52"/>
  <c r="C52" i="10"/>
  <c r="E51"/>
  <c r="F51"/>
  <c r="D55" i="17"/>
  <c r="F54"/>
  <c r="E54"/>
  <c r="EW25" i="2"/>
  <c r="EY25" s="1"/>
  <c r="E25"/>
  <c r="EW18"/>
  <c r="EY18" s="1"/>
  <c r="E18"/>
  <c r="C31"/>
  <c r="C33" s="1"/>
  <c r="H23" i="1"/>
  <c r="DI24" i="2"/>
  <c r="EW24"/>
  <c r="EY24" s="1"/>
  <c r="J14" i="1"/>
  <c r="K18"/>
  <c r="E48" i="19"/>
  <c r="C49"/>
  <c r="F48"/>
  <c r="EW16" i="2"/>
  <c r="EY16" s="1"/>
  <c r="DI16"/>
  <c r="EY26"/>
  <c r="EJ31"/>
  <c r="E12" i="1"/>
  <c r="K24"/>
  <c r="J23" l="1"/>
  <c r="DI31" i="2"/>
  <c r="DG33"/>
  <c r="E38" i="1"/>
  <c r="C28"/>
  <c r="E28" s="1"/>
  <c r="E31" i="2"/>
  <c r="I28" i="1"/>
  <c r="K28" s="1"/>
  <c r="EY14" i="2"/>
  <c r="EX31"/>
  <c r="EX33" s="1"/>
  <c r="D54" i="9"/>
  <c r="F53"/>
  <c r="E53"/>
  <c r="E18" i="1"/>
  <c r="E4"/>
  <c r="K14"/>
  <c r="I23"/>
  <c r="I27" s="1"/>
  <c r="G43"/>
  <c r="H27"/>
  <c r="F50" i="7"/>
  <c r="D51"/>
  <c r="E50"/>
  <c r="EW31" i="2"/>
  <c r="EW33" s="1"/>
  <c r="E17" i="1"/>
  <c r="C14"/>
  <c r="C23" s="1"/>
  <c r="C27" s="1"/>
  <c r="J27" l="1"/>
  <c r="J43" s="1"/>
  <c r="G44" s="1"/>
  <c r="C43"/>
  <c r="I43"/>
  <c r="F44" s="1"/>
  <c r="F45" s="1"/>
  <c r="E14"/>
  <c r="EY31" i="2"/>
  <c r="K23" i="1"/>
  <c r="K27" l="1"/>
  <c r="E23"/>
  <c r="G45"/>
  <c r="C44"/>
  <c r="E27"/>
  <c r="D43"/>
  <c r="D44" s="1"/>
</calcChain>
</file>

<file path=xl/sharedStrings.xml><?xml version="1.0" encoding="utf-8"?>
<sst xmlns="http://schemas.openxmlformats.org/spreadsheetml/2006/main" count="2850" uniqueCount="443">
  <si>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</si>
  <si>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</si>
  <si>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</si>
  <si>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</si>
  <si>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</si>
  <si>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</si>
  <si>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</si>
  <si>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</si>
  <si>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</si>
  <si>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</si>
  <si>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</si>
  <si>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</si>
  <si>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</si>
  <si>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</si>
  <si>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</si>
  <si>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</si>
  <si>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</si>
  <si>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</si>
  <si>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</si>
  <si>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</si>
  <si>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</si>
  <si>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</si>
  <si>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</si>
  <si>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</si>
  <si>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</si>
  <si>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</si>
  <si>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</si>
  <si>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</si>
  <si>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</si>
  <si>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</si>
  <si>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</si>
  <si>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</si>
  <si>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</si>
  <si>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</si>
  <si>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</si>
  <si>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</si>
  <si>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</si>
  <si>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</si>
  <si>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</si>
  <si>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</si>
  <si>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</si>
  <si>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</si>
  <si>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</si>
  <si>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</si>
  <si>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</si>
  <si>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</si>
  <si>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</si>
  <si>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</si>
  <si>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</si>
  <si>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</si>
  <si>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</si>
  <si>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</si>
  <si>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</si>
  <si>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</si>
  <si>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</si>
  <si>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</si>
  <si>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</si>
  <si>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</si>
  <si>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</si>
  <si>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</si>
  <si>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</si>
  <si>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</si>
  <si>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</si>
  <si>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</si>
  <si>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</si>
  <si>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</si>
  <si>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</si>
  <si>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</si>
  <si>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</si>
  <si>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</si>
  <si>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</si>
  <si>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</si>
  <si>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</si>
  <si>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</si>
  <si>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</si>
  <si>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</si>
  <si>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</si>
  <si>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</si>
  <si>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</si>
  <si>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</si>
  <si>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</si>
  <si>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</si>
  <si>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</si>
  <si>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</si>
  <si>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</si>
  <si>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</si>
  <si>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</si>
  <si>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</si>
  <si>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</si>
  <si>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</si>
  <si>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</si>
  <si>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</si>
  <si>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</si>
  <si>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</si>
  <si>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</si>
  <si>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</si>
  <si>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</si>
  <si>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</si>
  <si>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</si>
  <si>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</si>
  <si>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</si>
  <si>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</si>
  <si>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</si>
  <si>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</si>
  <si>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</si>
  <si>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</si>
  <si>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</si>
  <si>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</si>
  <si>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</si>
  <si>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</si>
  <si>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</si>
  <si>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</si>
  <si>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</si>
  <si>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</si>
  <si>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</si>
  <si>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</si>
  <si>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</si>
  <si>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</si>
  <si>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</si>
  <si>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</si>
  <si>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</si>
  <si>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</si>
  <si>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</si>
  <si>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</si>
  <si>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</si>
  <si>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</si>
  <si>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</si>
  <si>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</si>
  <si>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</si>
  <si>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</si>
  <si>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</si>
  <si>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</si>
  <si>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</si>
  <si>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</si>
  <si>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</si>
  <si>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</si>
  <si>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</si>
  <si>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</si>
  <si>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</si>
  <si>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</si>
  <si>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</si>
  <si>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</si>
  <si>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</si>
  <si>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</si>
  <si>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</si>
  <si>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</si>
  <si>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</si>
  <si>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</si>
  <si>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</si>
  <si>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</si>
  <si>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</si>
  <si>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</si>
  <si>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</si>
  <si>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</si>
  <si>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</si>
  <si>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</si>
  <si>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</si>
  <si>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</si>
  <si>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</si>
  <si>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</si>
  <si>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</si>
  <si>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</si>
  <si>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</si>
  <si>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</si>
  <si>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</si>
  <si>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</si>
  <si>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</si>
  <si>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</si>
  <si>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</si>
  <si>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</si>
  <si>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</si>
  <si>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</si>
  <si>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</si>
  <si>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</si>
  <si>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</si>
  <si>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</si>
  <si>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</si>
  <si>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</si>
  <si>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</si>
  <si>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</si>
  <si>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</si>
  <si>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</si>
  <si>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</si>
  <si>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</si>
  <si>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</si>
  <si>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</si>
  <si>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</si>
  <si>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</si>
  <si>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</si>
  <si>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</si>
  <si>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</si>
  <si>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</si>
  <si>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</si>
  <si>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</si>
  <si>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</si>
  <si>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</si>
  <si>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</si>
  <si>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</si>
  <si>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</si>
  <si>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</si>
  <si>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</si>
  <si>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</si>
  <si>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</si>
  <si>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</si>
  <si>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</si>
  <si>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</si>
  <si>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</si>
  <si>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</si>
  <si>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</si>
  <si>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</si>
  <si>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</si>
  <si>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</si>
  <si>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</si>
  <si>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</si>
  <si>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</si>
  <si>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</si>
  <si>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</si>
  <si>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</si>
  <si>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</si>
  <si>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</si>
  <si>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</si>
  <si>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</si>
  <si>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</si>
  <si>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</si>
  <si>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</si>
  <si>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</si>
  <si>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</si>
  <si>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</si>
  <si>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</si>
  <si>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</si>
  <si>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</si>
  <si>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</si>
  <si>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</si>
  <si>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</si>
  <si>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</si>
  <si>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</si>
  <si>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</si>
  <si>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</si>
  <si>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</si>
  <si>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</si>
  <si>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</si>
  <si>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</si>
  <si>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</si>
  <si>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</si>
  <si>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</si>
  <si>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</si>
  <si>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</si>
  <si>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</si>
  <si>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</si>
  <si>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</si>
  <si>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</si>
  <si>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</si>
  <si>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</si>
  <si>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</si>
  <si>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</si>
  <si>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</si>
  <si>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</si>
  <si>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</si>
  <si>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</si>
  <si>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</si>
  <si>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</si>
  <si>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</si>
  <si>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</si>
  <si>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</si>
  <si>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</si>
  <si>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</si>
  <si>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</si>
  <si>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</si>
  <si>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</si>
  <si>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</si>
  <si>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</si>
  <si>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</si>
  <si>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</si>
  <si>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</si>
  <si>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</si>
  <si>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</si>
  <si>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</si>
  <si>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</si>
  <si>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</si>
  <si>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</si>
  <si>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</si>
  <si>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</si>
  <si>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</si>
  <si>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</si>
  <si>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</si>
  <si>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</si>
  <si>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</si>
  <si>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</si>
  <si>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</si>
  <si>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</si>
  <si>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</si>
  <si>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</si>
  <si>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</si>
  <si>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</si>
  <si>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</si>
  <si>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</si>
  <si>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</si>
  <si>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</si>
  <si>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</si>
  <si>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</si>
  <si>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</si>
  <si>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</si>
  <si>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</si>
  <si>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</si>
  <si>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</si>
  <si>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</si>
  <si>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</si>
  <si>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</si>
  <si>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</si>
  <si>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</si>
  <si>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</si>
  <si>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</si>
  <si>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</si>
  <si>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</si>
  <si>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</si>
  <si>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</si>
  <si>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</si>
  <si>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</si>
  <si>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</si>
  <si>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</si>
  <si>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</si>
  <si>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</si>
  <si>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</si>
  <si>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</si>
  <si>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</si>
  <si>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</si>
  <si>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</si>
  <si>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</si>
  <si>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</si>
  <si>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</si>
  <si>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</si>
  <si>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</si>
  <si>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</si>
  <si>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</si>
  <si>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</si>
  <si>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</si>
  <si>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</si>
  <si>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</si>
  <si>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</si>
  <si>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</si>
  <si>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</si>
  <si>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</si>
  <si>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</si>
  <si>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</si>
  <si>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</si>
  <si>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</si>
  <si>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</si>
  <si>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</si>
  <si>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</si>
  <si>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</si>
  <si>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</si>
  <si>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</si>
  <si>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</si>
  <si>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</si>
  <si>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</si>
  <si>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</si>
  <si>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</si>
  <si>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</si>
  <si>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</si>
  <si>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</si>
  <si>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</si>
  <si>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</si>
  <si>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</si>
  <si>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</si>
  <si>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</si>
  <si>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</si>
  <si>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</si>
  <si>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</si>
  <si>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</si>
  <si>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</si>
  <si>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</si>
  <si>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</si>
  <si>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</si>
  <si>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</si>
  <si>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</si>
  <si>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</si>
  <si>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</si>
  <si>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</si>
  <si>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</si>
  <si>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</si>
  <si>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</si>
  <si>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</si>
  <si>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</si>
  <si>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</si>
  <si>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</si>
  <si>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</si>
  <si>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</si>
  <si>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</si>
  <si>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</si>
  <si>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</si>
  <si>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</si>
  <si>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</si>
  <si>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</si>
  <si>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</si>
  <si>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</si>
  <si>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</si>
  <si>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</si>
  <si>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>Доходы от реализации имущества                                          000 114 02014100000 420</t>
  </si>
  <si>
    <t>назначено на 2020 г.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</si>
  <si>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</si>
  <si>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план на 2020 г.</t>
  </si>
  <si>
    <t>Упрощенная система налогооблажения</t>
  </si>
  <si>
    <t>Иные штафы, неустойки, пени, уплаченные в соотв с законом или договорам</t>
  </si>
  <si>
    <t>Доходы от д.в. (штрафов),поступ в счет погашения задолж., образ до 1 января 2020 года</t>
  </si>
  <si>
    <t>% исполнения</t>
  </si>
  <si>
    <t>Заместитель главы администрации Моргаушского района -начальник финансового отдела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</si>
  <si>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</si>
  <si>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возхмещения причиненного ущерба (убытка)</t>
  </si>
  <si>
    <t>Платежи,уплачиваемые в целях возмещения вреда</t>
  </si>
  <si>
    <t>Штрафы, неустойки, пени,уплаченные в соответствии с законом или договорам в случае неисполнения или ненадлежащего исполнения обязательств</t>
  </si>
  <si>
    <t>ШТРАФЫ,САНКЦИИ,ВОЗМЕЩЕНИЕ УЩЕРБА</t>
  </si>
  <si>
    <t>Штрафы,неустойки,пени, уплаченные в соответствии с законом или договорам</t>
  </si>
  <si>
    <t xml:space="preserve">Штрафы, неустойки, пени уплаченные в случае просрочки исполнения поставщиком </t>
  </si>
  <si>
    <t xml:space="preserve">Доходы,  </t>
  </si>
  <si>
    <t>Штрафы, неустойки, пени, уплаченные в случае просрочки исполнения поставщиком</t>
  </si>
  <si>
    <t>Анализ исполнения консолидированного бюджета Моргаушского районана 01.12.2020 г.</t>
  </si>
  <si>
    <t>исполнено на 01.12.2020 г.</t>
  </si>
  <si>
    <t xml:space="preserve">                     Анализ исполнения бюджета Александровского сельского поселения на 01.12.2020 г.</t>
  </si>
  <si>
    <t>исполнен на 01.12.2020 г.</t>
  </si>
  <si>
    <t xml:space="preserve">                     Анализ исполнения бюджета Большесундырского сельского поселения на 01.12.2020 г.</t>
  </si>
  <si>
    <t>исполнено на 01.12.2020 г</t>
  </si>
  <si>
    <t xml:space="preserve">                     Анализ исполнения бюджета Ильинского сельского поселения на 01.12.2020 г.</t>
  </si>
  <si>
    <t xml:space="preserve">                     Анализ исполнения бюджета Кадикасинского сельского поселения на 01.12.2020 г.</t>
  </si>
  <si>
    <t xml:space="preserve">                     Анализ исполнения бюджета Моргаушского сельского поселения на 01.12.2020 г.</t>
  </si>
  <si>
    <t xml:space="preserve">                     Анализ исполнения бюджета Москакасинского сельского поселения на 01.12.2020 г.</t>
  </si>
  <si>
    <t xml:space="preserve">  Доходы от компенсации затрат государства</t>
  </si>
  <si>
    <t xml:space="preserve">                     Анализ исполнения бюджета Орининского сельского поселения на 01.12.2020 г.</t>
  </si>
  <si>
    <t xml:space="preserve">                     Анализ исполнения бюджета Сятракасинского сельского поселения на 01.12.2020 г.</t>
  </si>
  <si>
    <t xml:space="preserve">                     Анализ исполнения бюджета Тораевского сельского поселения на 01.12.2020 г.</t>
  </si>
  <si>
    <t xml:space="preserve">                     Анализ исполнения бюджета Хорнойского сельского поселения на 01.12.2020 г.</t>
  </si>
  <si>
    <t xml:space="preserve">                     Анализ исполнения бюджета Чуманкасинского сельского поселения на 01.12.2020 г.</t>
  </si>
  <si>
    <t xml:space="preserve">                     Анализ исполнения бюджета Шатьмапосинского сельского поселения на 01.12.2020 г.</t>
  </si>
  <si>
    <t xml:space="preserve">                     Анализ исполнения бюджета Юнгинского сельского поселения на 01.12.2020 г.</t>
  </si>
  <si>
    <t>исполнено на 01.12.2020г.</t>
  </si>
  <si>
    <t xml:space="preserve">                     Анализ исполнения бюджета Юськасинского сельского поселения на 01.12.2020 г.</t>
  </si>
  <si>
    <t xml:space="preserve">                     Анализ исполнения бюджета Ярабайкасинского сельского поселения на 01.12.2020 г.</t>
  </si>
  <si>
    <t xml:space="preserve">                     Анализ исполнения бюджета Ярославского сельского поселения на 01.12.2020 г.</t>
  </si>
  <si>
    <t xml:space="preserve">                                                        Моргаушского района на 01.12.2020 г. </t>
  </si>
  <si>
    <t>Плата за увеличение площади земельных участках,находящихся в частной собственности</t>
  </si>
  <si>
    <t xml:space="preserve">исполнено на 01.12.2020 г. </t>
  </si>
  <si>
    <t>об исполнении бюджетов поселений  Моргаушского района  на 1 декабря 2020 г.</t>
  </si>
  <si>
    <t>Заместитель главы администрации района -</t>
  </si>
  <si>
    <t xml:space="preserve">начальник финансового отдела 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</si>
</sst>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-* #,##0.00000\ _₽_-;\-* #,##0.00000\ _₽_-;_-* &quot;-&quot;?????\ _₽_-;_-@_-"/>
    <numFmt numFmtId="185" formatCode="#,##0.0000"/>
    <numFmt numFmtId="186" formatCode="_(* #,##0.000_);_(* \(#,##0.000\);_(* &quot;-&quot;??_);_(@_)"/>
  </numFmts>
  <fonts count="43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48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2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4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2" fontId="19" fillId="0" borderId="1" xfId="11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85" fontId="27" fillId="3" borderId="1" xfId="0" applyNumberFormat="1" applyFont="1" applyFill="1" applyBorder="1" applyAlignment="1">
      <alignment vertical="center" wrapText="1"/>
    </xf>
    <xf numFmtId="166" fontId="41" fillId="3" borderId="1" xfId="0" applyNumberFormat="1" applyFont="1" applyFill="1" applyBorder="1" applyAlignment="1">
      <alignment horizontal="center" vertical="center" wrapText="1"/>
    </xf>
    <xf numFmtId="166" fontId="18" fillId="3" borderId="1" xfId="1" applyNumberFormat="1" applyFont="1" applyFill="1" applyBorder="1" applyAlignment="1">
      <alignment horizontal="right" vertical="center"/>
    </xf>
    <xf numFmtId="179" fontId="27" fillId="5" borderId="1" xfId="0" applyNumberFormat="1" applyFont="1" applyFill="1" applyBorder="1" applyAlignment="1">
      <alignment vertical="center" wrapText="1"/>
    </xf>
    <xf numFmtId="179" fontId="27" fillId="0" borderId="1" xfId="0" applyNumberFormat="1" applyFont="1" applyFill="1" applyBorder="1" applyAlignment="1">
      <alignment vertical="center" wrapText="1"/>
    </xf>
    <xf numFmtId="166" fontId="42" fillId="5" borderId="1" xfId="0" applyNumberFormat="1" applyFont="1" applyFill="1" applyBorder="1" applyAlignment="1">
      <alignment horizontal="center" vertical="center" wrapText="1"/>
    </xf>
    <xf numFmtId="0" fontId="18" fillId="0" borderId="1" xfId="11" applyNumberFormat="1" applyFont="1" applyBorder="1" applyAlignment="1">
      <alignment horizontal="center"/>
    </xf>
    <xf numFmtId="167" fontId="3" fillId="0" borderId="1" xfId="12" applyNumberFormat="1" applyFont="1" applyBorder="1" applyAlignment="1">
      <alignment horizontal="right" vertical="center"/>
    </xf>
    <xf numFmtId="169" fontId="3" fillId="3" borderId="1" xfId="12" applyNumberFormat="1" applyFont="1" applyFill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4" fontId="27" fillId="3" borderId="1" xfId="0" applyNumberFormat="1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 wrapText="1"/>
    </xf>
    <xf numFmtId="4" fontId="27" fillId="5" borderId="1" xfId="0" applyNumberFormat="1" applyFont="1" applyFill="1" applyBorder="1" applyAlignment="1">
      <alignment vertical="center" wrapText="1"/>
    </xf>
    <xf numFmtId="0" fontId="5" fillId="0" borderId="1" xfId="12" applyNumberFormat="1" applyFont="1" applyBorder="1" applyAlignment="1">
      <alignment horizontal="center"/>
    </xf>
    <xf numFmtId="176" fontId="3" fillId="0" borderId="1" xfId="12" applyNumberFormat="1" applyFont="1" applyBorder="1" applyAlignment="1">
      <alignment horizontal="right" vertical="center"/>
    </xf>
    <xf numFmtId="175" fontId="3" fillId="0" borderId="1" xfId="9" applyNumberFormat="1" applyFont="1" applyBorder="1" applyAlignment="1">
      <alignment horizontal="right" vertical="center"/>
    </xf>
    <xf numFmtId="176" fontId="3" fillId="0" borderId="1" xfId="6" applyNumberFormat="1" applyFont="1" applyBorder="1" applyAlignment="1">
      <alignment horizontal="right" vertical="center"/>
    </xf>
    <xf numFmtId="174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66" fontId="3" fillId="3" borderId="1" xfId="12" applyNumberFormat="1" applyFont="1" applyFill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172" fontId="3" fillId="0" borderId="1" xfId="11" applyNumberFormat="1" applyFont="1" applyBorder="1" applyAlignment="1">
      <alignment horizontal="right" vertical="center"/>
    </xf>
    <xf numFmtId="172" fontId="27" fillId="0" borderId="1" xfId="0" applyNumberFormat="1" applyFont="1" applyFill="1" applyBorder="1" applyAlignment="1">
      <alignment vertical="center" wrapText="1"/>
    </xf>
    <xf numFmtId="172" fontId="27" fillId="5" borderId="1" xfId="0" applyNumberFormat="1" applyFont="1" applyFill="1" applyBorder="1" applyAlignment="1">
      <alignment vertical="center" wrapText="1"/>
    </xf>
    <xf numFmtId="172" fontId="31" fillId="3" borderId="1" xfId="0" applyNumberFormat="1" applyFont="1" applyFill="1" applyBorder="1" applyAlignment="1">
      <alignment vertical="center" wrapText="1"/>
    </xf>
    <xf numFmtId="168" fontId="3" fillId="0" borderId="8" xfId="11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6" fontId="3" fillId="0" borderId="1" xfId="12" applyNumberFormat="1" applyFont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66" fontId="18" fillId="5" borderId="1" xfId="9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85" fontId="27" fillId="3" borderId="1" xfId="0" applyNumberFormat="1" applyFont="1" applyFill="1" applyBorder="1" applyAlignment="1" applyProtection="1">
      <alignment vertical="center" wrapText="1"/>
      <protection locked="0"/>
    </xf>
    <xf numFmtId="168" fontId="18" fillId="5" borderId="1" xfId="12" applyNumberFormat="1" applyFont="1" applyFill="1" applyBorder="1" applyAlignment="1">
      <alignment horizontal="right" vertical="center"/>
    </xf>
    <xf numFmtId="2" fontId="18" fillId="3" borderId="1" xfId="0" applyNumberFormat="1" applyFont="1" applyFill="1" applyBorder="1" applyAlignment="1">
      <alignment horizontal="center" vertical="center" wrapText="1"/>
    </xf>
    <xf numFmtId="172" fontId="3" fillId="5" borderId="1" xfId="11" applyNumberFormat="1" applyFont="1" applyFill="1" applyBorder="1" applyAlignment="1">
      <alignment horizontal="right" vertical="center"/>
    </xf>
    <xf numFmtId="168" fontId="18" fillId="0" borderId="1" xfId="11" applyNumberFormat="1" applyFont="1" applyBorder="1" applyAlignment="1">
      <alignment horizontal="right" vertical="center"/>
    </xf>
    <xf numFmtId="176" fontId="18" fillId="0" borderId="1" xfId="11" applyNumberFormat="1" applyFont="1" applyBorder="1" applyAlignment="1">
      <alignment horizontal="right" vertical="center"/>
    </xf>
    <xf numFmtId="168" fontId="27" fillId="3" borderId="1" xfId="0" applyNumberFormat="1" applyFont="1" applyFill="1" applyBorder="1" applyAlignment="1">
      <alignment vertical="center" wrapText="1"/>
    </xf>
    <xf numFmtId="168" fontId="27" fillId="5" borderId="1" xfId="0" applyNumberFormat="1" applyFont="1" applyFill="1" applyBorder="1" applyAlignment="1">
      <alignment vertical="center" wrapText="1"/>
    </xf>
    <xf numFmtId="168" fontId="27" fillId="0" borderId="1" xfId="0" applyNumberFormat="1" applyFont="1" applyFill="1" applyBorder="1" applyAlignment="1">
      <alignment vertical="center" wrapText="1"/>
    </xf>
    <xf numFmtId="185" fontId="27" fillId="0" borderId="1" xfId="0" applyNumberFormat="1" applyFont="1" applyFill="1" applyBorder="1" applyAlignment="1">
      <alignment vertical="center" wrapText="1"/>
    </xf>
    <xf numFmtId="185" fontId="27" fillId="5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>
      <alignment vertical="center" wrapText="1"/>
    </xf>
    <xf numFmtId="172" fontId="30" fillId="3" borderId="1" xfId="0" applyNumberFormat="1" applyFont="1" applyFill="1" applyBorder="1" applyAlignment="1">
      <alignment vertical="center" wrapText="1"/>
    </xf>
    <xf numFmtId="165" fontId="3" fillId="0" borderId="1" xfId="11" applyNumberFormat="1" applyFont="1" applyBorder="1" applyAlignment="1">
      <alignment horizontal="right" vertical="center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1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83" fontId="18" fillId="0" borderId="1" xfId="9" applyNumberFormat="1" applyFont="1" applyBorder="1" applyAlignment="1">
      <alignment horizontal="right" vertical="center"/>
    </xf>
    <xf numFmtId="168" fontId="19" fillId="0" borderId="1" xfId="9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2.bin"/><Relationship Id="rId2" Type="http://schemas.openxmlformats.org/officeDocument/2006/relationships/printerSettings" Target="../printerSettings/printerSettings201.bin"/><Relationship Id="rId1" Type="http://schemas.openxmlformats.org/officeDocument/2006/relationships/printerSettings" Target="../printerSettings/printerSettings20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4.bin"/><Relationship Id="rId1" Type="http://schemas.openxmlformats.org/officeDocument/2006/relationships/printerSettings" Target="../printerSettings/printerSettings20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topLeftCell="A4" zoomScale="80" zoomScaleSheetLayoutView="80" workbookViewId="0">
      <selection activeCell="F9" sqref="F9"/>
    </sheetView>
  </sheetViews>
  <sheetFormatPr defaultRowHeight="15.75"/>
  <cols>
    <col min="1" max="1" width="41.28515625" style="84" customWidth="1"/>
    <col min="2" max="2" width="10" style="85" customWidth="1"/>
    <col min="3" max="3" width="22.710937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506" t="s">
        <v>415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123"/>
      <c r="M1" s="123"/>
      <c r="N1" s="123"/>
      <c r="O1" s="123"/>
    </row>
    <row r="2" spans="1:15" ht="33.75" customHeight="1">
      <c r="A2" s="504" t="s">
        <v>177</v>
      </c>
      <c r="B2" s="505" t="s">
        <v>178</v>
      </c>
      <c r="C2" s="501" t="s">
        <v>179</v>
      </c>
      <c r="D2" s="502"/>
      <c r="E2" s="502"/>
      <c r="F2" s="501" t="s">
        <v>180</v>
      </c>
      <c r="G2" s="502"/>
      <c r="H2" s="502"/>
      <c r="I2" s="501" t="s">
        <v>181</v>
      </c>
      <c r="J2" s="502"/>
      <c r="K2" s="507"/>
    </row>
    <row r="3" spans="1:15" ht="53.25" customHeight="1">
      <c r="A3" s="504"/>
      <c r="B3" s="505"/>
      <c r="C3" s="78" t="s">
        <v>400</v>
      </c>
      <c r="D3" s="78" t="s">
        <v>416</v>
      </c>
      <c r="E3" s="138" t="s">
        <v>316</v>
      </c>
      <c r="F3" s="78" t="s">
        <v>400</v>
      </c>
      <c r="G3" s="78" t="s">
        <v>416</v>
      </c>
      <c r="H3" s="138" t="s">
        <v>316</v>
      </c>
      <c r="I3" s="78" t="s">
        <v>400</v>
      </c>
      <c r="J3" s="78" t="s">
        <v>416</v>
      </c>
      <c r="K3" s="78" t="s">
        <v>316</v>
      </c>
    </row>
    <row r="4" spans="1:15" s="80" customFormat="1" ht="30.75" customHeight="1">
      <c r="A4" s="79" t="s">
        <v>4</v>
      </c>
      <c r="B4" s="76"/>
      <c r="C4" s="201">
        <f>SUM(C5:C13)</f>
        <v>185381.12069000001</v>
      </c>
      <c r="D4" s="201">
        <f>SUM(D5:D13)</f>
        <v>161494.75341999999</v>
      </c>
      <c r="E4" s="201">
        <f>D4/C4*100</f>
        <v>87.114994676322226</v>
      </c>
      <c r="F4" s="201">
        <f>SUM(F5:F13)</f>
        <v>146392.1</v>
      </c>
      <c r="G4" s="201">
        <f>SUM(G5:G13)</f>
        <v>127500.72650000002</v>
      </c>
      <c r="H4" s="201">
        <f>G4/F4*100</f>
        <v>87.095359995518891</v>
      </c>
      <c r="I4" s="201">
        <f>I5+I7+I6+I8+I10+I11+I12+I13</f>
        <v>38989.020690000005</v>
      </c>
      <c r="J4" s="201">
        <f>J5+J6+J7+J8+J10+J11+J12+J13</f>
        <v>33994.026919999997</v>
      </c>
      <c r="K4" s="201">
        <f>J4/I4*100</f>
        <v>87.188717024428527</v>
      </c>
    </row>
    <row r="5" spans="1:15" ht="27" customHeight="1">
      <c r="A5" s="81" t="s">
        <v>182</v>
      </c>
      <c r="B5" s="77">
        <v>10102</v>
      </c>
      <c r="C5" s="202">
        <f t="shared" ref="C5:D13" si="0">F5+I5</f>
        <v>127545.9</v>
      </c>
      <c r="D5" s="202">
        <f t="shared" si="0"/>
        <v>112533.47182000001</v>
      </c>
      <c r="E5" s="203">
        <f t="shared" ref="E5:E12" si="1">D5/C5*100</f>
        <v>88.229783803320998</v>
      </c>
      <c r="F5" s="202">
        <f>район!C5</f>
        <v>121767.4</v>
      </c>
      <c r="G5" s="202">
        <f>район!D5</f>
        <v>107372.96226</v>
      </c>
      <c r="H5" s="203">
        <f t="shared" ref="H5:H41" si="2">G5/F5*100</f>
        <v>88.178742635549426</v>
      </c>
      <c r="I5" s="202">
        <f>Справка!I31</f>
        <v>5778.5</v>
      </c>
      <c r="J5" s="202">
        <f>Справка!J31</f>
        <v>5160.5095599999986</v>
      </c>
      <c r="K5" s="203">
        <f t="shared" ref="K5:K12" si="3">J5/I5*100</f>
        <v>89.305348446828731</v>
      </c>
    </row>
    <row r="6" spans="1:15" ht="41.25" customHeight="1">
      <c r="A6" s="81" t="s">
        <v>269</v>
      </c>
      <c r="B6" s="77">
        <v>10300</v>
      </c>
      <c r="C6" s="202">
        <f t="shared" si="0"/>
        <v>14643.699999999999</v>
      </c>
      <c r="D6" s="202">
        <f t="shared" si="0"/>
        <v>12771.74201</v>
      </c>
      <c r="E6" s="203">
        <f t="shared" si="1"/>
        <v>87.216632476764758</v>
      </c>
      <c r="F6" s="202">
        <f>район!C7</f>
        <v>5337</v>
      </c>
      <c r="G6" s="202">
        <f>район!D7</f>
        <v>4654.7480799999994</v>
      </c>
      <c r="H6" s="203">
        <f t="shared" si="2"/>
        <v>87.216565111485849</v>
      </c>
      <c r="I6" s="202">
        <f>Справка!L31+Справка!R31+Справка!O31</f>
        <v>9306.6999999999989</v>
      </c>
      <c r="J6" s="202">
        <f>Справка!M31+Справка!S31+Справка!P31+Справка!V31</f>
        <v>8116.9939300000005</v>
      </c>
      <c r="K6" s="203">
        <f t="shared" si="3"/>
        <v>87.216671107911523</v>
      </c>
    </row>
    <row r="7" spans="1:15" ht="19.5" customHeight="1">
      <c r="A7" s="81" t="s">
        <v>183</v>
      </c>
      <c r="B7" s="77">
        <v>10500</v>
      </c>
      <c r="C7" s="202">
        <f t="shared" si="0"/>
        <v>12691.712000000001</v>
      </c>
      <c r="D7" s="202">
        <f t="shared" si="0"/>
        <v>9311.8559600000008</v>
      </c>
      <c r="E7" s="203">
        <f t="shared" si="1"/>
        <v>73.36958134568448</v>
      </c>
      <c r="F7" s="202">
        <f>район!C12</f>
        <v>12087.7</v>
      </c>
      <c r="G7" s="202">
        <f>район!D12</f>
        <v>8665.3033599999999</v>
      </c>
      <c r="H7" s="203">
        <f t="shared" si="2"/>
        <v>71.686949212836183</v>
      </c>
      <c r="I7" s="202">
        <f>Справка!X31</f>
        <v>604.01199999999994</v>
      </c>
      <c r="J7" s="202">
        <f>Справка!Y31</f>
        <v>646.55259999999998</v>
      </c>
      <c r="K7" s="203">
        <f t="shared" si="3"/>
        <v>107.04300576809733</v>
      </c>
    </row>
    <row r="8" spans="1:15" ht="19.5" customHeight="1">
      <c r="A8" s="81" t="s">
        <v>184</v>
      </c>
      <c r="B8" s="77">
        <v>10601</v>
      </c>
      <c r="C8" s="202">
        <f t="shared" si="0"/>
        <v>5373</v>
      </c>
      <c r="D8" s="202">
        <f t="shared" si="0"/>
        <v>3959.1290100000001</v>
      </c>
      <c r="E8" s="203">
        <f t="shared" si="1"/>
        <v>73.685632049134568</v>
      </c>
      <c r="F8" s="202"/>
      <c r="G8" s="202"/>
      <c r="H8" s="203"/>
      <c r="I8" s="202">
        <f>Справка!AA31</f>
        <v>5373</v>
      </c>
      <c r="J8" s="202">
        <f>Справка!AB31</f>
        <v>3959.1290100000001</v>
      </c>
      <c r="K8" s="203">
        <f t="shared" si="3"/>
        <v>73.685632049134568</v>
      </c>
    </row>
    <row r="9" spans="1:15" ht="19.5" customHeight="1">
      <c r="A9" s="81" t="s">
        <v>270</v>
      </c>
      <c r="B9" s="77">
        <v>10604</v>
      </c>
      <c r="C9" s="202">
        <f t="shared" si="0"/>
        <v>2300</v>
      </c>
      <c r="D9" s="202">
        <f t="shared" si="0"/>
        <v>2151.1283899999999</v>
      </c>
      <c r="E9" s="203">
        <f t="shared" si="1"/>
        <v>93.527321304347822</v>
      </c>
      <c r="F9" s="202">
        <f>район!C17</f>
        <v>2300</v>
      </c>
      <c r="G9" s="202">
        <f>район!D20</f>
        <v>2151.1283899999999</v>
      </c>
      <c r="H9" s="203">
        <f t="shared" si="2"/>
        <v>93.527321304347822</v>
      </c>
      <c r="I9" s="202"/>
      <c r="J9" s="202"/>
      <c r="K9" s="203"/>
    </row>
    <row r="10" spans="1:15" ht="19.5" customHeight="1">
      <c r="A10" s="81" t="s">
        <v>185</v>
      </c>
      <c r="B10" s="77">
        <v>10606</v>
      </c>
      <c r="C10" s="202">
        <f t="shared" si="0"/>
        <v>17810.808690000002</v>
      </c>
      <c r="D10" s="202">
        <f t="shared" si="0"/>
        <v>16052.831819999999</v>
      </c>
      <c r="E10" s="203">
        <f t="shared" si="1"/>
        <v>90.129718977965155</v>
      </c>
      <c r="F10" s="202"/>
      <c r="G10" s="202"/>
      <c r="H10" s="203">
        <v>0</v>
      </c>
      <c r="I10" s="202">
        <f>Справка!AD31</f>
        <v>17810.808690000002</v>
      </c>
      <c r="J10" s="202">
        <f>Справка!AE31</f>
        <v>16052.831819999999</v>
      </c>
      <c r="K10" s="203">
        <f t="shared" si="3"/>
        <v>90.129718977965155</v>
      </c>
    </row>
    <row r="11" spans="1:15" ht="33.75" customHeight="1">
      <c r="A11" s="81" t="s">
        <v>186</v>
      </c>
      <c r="B11" s="77">
        <v>10701</v>
      </c>
      <c r="C11" s="202">
        <f t="shared" si="0"/>
        <v>1500</v>
      </c>
      <c r="D11" s="202">
        <f t="shared" si="0"/>
        <v>1798.0187900000001</v>
      </c>
      <c r="E11" s="203">
        <f t="shared" si="1"/>
        <v>119.86791933333333</v>
      </c>
      <c r="F11" s="202">
        <f>район!C22</f>
        <v>1500</v>
      </c>
      <c r="G11" s="202">
        <f>район!D22</f>
        <v>1798.0187900000001</v>
      </c>
      <c r="H11" s="203">
        <f t="shared" si="2"/>
        <v>119.86791933333333</v>
      </c>
      <c r="I11" s="202"/>
      <c r="J11" s="202"/>
      <c r="K11" s="203">
        <v>0</v>
      </c>
    </row>
    <row r="12" spans="1:15" ht="19.5" customHeight="1">
      <c r="A12" s="81" t="s">
        <v>187</v>
      </c>
      <c r="B12" s="77">
        <v>10800</v>
      </c>
      <c r="C12" s="202">
        <f t="shared" si="0"/>
        <v>3516</v>
      </c>
      <c r="D12" s="202">
        <f t="shared" si="0"/>
        <v>2916.3162300000004</v>
      </c>
      <c r="E12" s="203">
        <f t="shared" si="1"/>
        <v>82.944147610921519</v>
      </c>
      <c r="F12" s="202">
        <f>район!C24</f>
        <v>3400</v>
      </c>
      <c r="G12" s="202">
        <f>район!D24</f>
        <v>2858.3062300000001</v>
      </c>
      <c r="H12" s="203">
        <f t="shared" si="2"/>
        <v>84.067830294117655</v>
      </c>
      <c r="I12" s="202">
        <f>Справка!AG31</f>
        <v>116</v>
      </c>
      <c r="J12" s="202">
        <f>Справка!AH31</f>
        <v>58.010000000000005</v>
      </c>
      <c r="K12" s="203">
        <f t="shared" si="3"/>
        <v>50.008620689655181</v>
      </c>
    </row>
    <row r="13" spans="1:15" ht="19.5" customHeight="1">
      <c r="A13" s="81" t="s">
        <v>188</v>
      </c>
      <c r="B13" s="77">
        <v>10900</v>
      </c>
      <c r="C13" s="202">
        <f t="shared" si="0"/>
        <v>0</v>
      </c>
      <c r="D13" s="202">
        <f t="shared" si="0"/>
        <v>0.25939000000000001</v>
      </c>
      <c r="E13" s="203"/>
      <c r="F13" s="202">
        <f>район!C28</f>
        <v>0</v>
      </c>
      <c r="G13" s="202">
        <f>район!D28</f>
        <v>0.25939000000000001</v>
      </c>
      <c r="H13" s="203"/>
      <c r="I13" s="202">
        <f>Справка!AJ31</f>
        <v>0</v>
      </c>
      <c r="J13" s="202">
        <f>Справка!AK31</f>
        <v>0</v>
      </c>
      <c r="K13" s="203"/>
    </row>
    <row r="14" spans="1:15" s="80" customFormat="1" ht="20.25" customHeight="1">
      <c r="A14" s="79" t="s">
        <v>12</v>
      </c>
      <c r="B14" s="76"/>
      <c r="C14" s="201">
        <f>SUM(C15:C21)</f>
        <v>22123.546999999999</v>
      </c>
      <c r="D14" s="201">
        <f>SUM(D15:D21)</f>
        <v>20036.543619999997</v>
      </c>
      <c r="E14" s="201">
        <f t="shared" ref="E14:E39" si="4">D14/C14*100</f>
        <v>90.566596848145537</v>
      </c>
      <c r="F14" s="201">
        <f>F15+F16+F17+F18+F20+F21+F19</f>
        <v>17834</v>
      </c>
      <c r="G14" s="201">
        <f>G15+G16+G17+G18+G20+G21+G19</f>
        <v>15311.83844</v>
      </c>
      <c r="H14" s="201">
        <f t="shared" si="2"/>
        <v>85.857566670404836</v>
      </c>
      <c r="I14" s="204">
        <f>I15+I16+I17+I18+I20+I21+I26</f>
        <v>4289.5469999999996</v>
      </c>
      <c r="J14" s="204">
        <f>J15+J16+J17+J18+J20+J21+J26</f>
        <v>4724.7051800000008</v>
      </c>
      <c r="K14" s="201">
        <f>J14/I14*100</f>
        <v>110.14461853431146</v>
      </c>
    </row>
    <row r="15" spans="1:15" ht="52.5" customHeight="1">
      <c r="A15" s="81" t="s">
        <v>189</v>
      </c>
      <c r="B15" s="77">
        <v>11100</v>
      </c>
      <c r="C15" s="202">
        <f t="shared" ref="C15:D21" si="5">F15+I15</f>
        <v>13340.553</v>
      </c>
      <c r="D15" s="202">
        <f t="shared" si="5"/>
        <v>10835.041859999999</v>
      </c>
      <c r="E15" s="202">
        <f t="shared" si="4"/>
        <v>81.21883598078729</v>
      </c>
      <c r="F15" s="202">
        <f>район!C34</f>
        <v>9900</v>
      </c>
      <c r="G15" s="202">
        <f>район!D34</f>
        <v>7611.1594599999989</v>
      </c>
      <c r="H15" s="202">
        <f t="shared" si="2"/>
        <v>76.880398585858572</v>
      </c>
      <c r="I15" s="202">
        <f>Справка!AP31+Справка!AS31+Справка!AM31</f>
        <v>3440.5529999999999</v>
      </c>
      <c r="J15" s="202">
        <f>Справка!AQ31+Справка!AT31+Справка!AN31</f>
        <v>3223.8824</v>
      </c>
      <c r="K15" s="203">
        <f>J15/I15*100</f>
        <v>93.702448414542658</v>
      </c>
    </row>
    <row r="16" spans="1:15" ht="33" customHeight="1">
      <c r="A16" s="81" t="s">
        <v>190</v>
      </c>
      <c r="B16" s="77">
        <v>11200</v>
      </c>
      <c r="C16" s="202">
        <f t="shared" si="5"/>
        <v>550</v>
      </c>
      <c r="D16" s="202">
        <f t="shared" si="5"/>
        <v>466.79214000000002</v>
      </c>
      <c r="E16" s="202">
        <f t="shared" si="4"/>
        <v>84.87129818181819</v>
      </c>
      <c r="F16" s="202">
        <f>район!C43</f>
        <v>550</v>
      </c>
      <c r="G16" s="202">
        <f>район!D43</f>
        <v>466.79214000000002</v>
      </c>
      <c r="H16" s="202">
        <f t="shared" si="2"/>
        <v>84.87129818181819</v>
      </c>
      <c r="I16" s="202">
        <v>0</v>
      </c>
      <c r="J16" s="202">
        <v>0</v>
      </c>
      <c r="K16" s="203">
        <v>0</v>
      </c>
    </row>
    <row r="17" spans="1:13" ht="33" customHeight="1">
      <c r="A17" s="81" t="s">
        <v>191</v>
      </c>
      <c r="B17" s="77">
        <v>11300</v>
      </c>
      <c r="C17" s="202">
        <f t="shared" si="5"/>
        <v>709</v>
      </c>
      <c r="D17" s="202">
        <f t="shared" si="5"/>
        <v>865.68161000000009</v>
      </c>
      <c r="E17" s="202">
        <f>D17/C17*100</f>
        <v>122.09895768688295</v>
      </c>
      <c r="F17" s="202">
        <f>район!C45</f>
        <v>84</v>
      </c>
      <c r="G17" s="202">
        <f>район!D45</f>
        <v>184.18921</v>
      </c>
      <c r="H17" s="202">
        <f t="shared" si="2"/>
        <v>219.27286904761905</v>
      </c>
      <c r="I17" s="202">
        <f>Справка!AY31</f>
        <v>625</v>
      </c>
      <c r="J17" s="202">
        <f>Справка!AZ31</f>
        <v>681.49240000000009</v>
      </c>
      <c r="K17" s="203">
        <f>J17/I17*100</f>
        <v>109.03878400000002</v>
      </c>
    </row>
    <row r="18" spans="1:13" ht="33" customHeight="1">
      <c r="A18" s="81" t="s">
        <v>192</v>
      </c>
      <c r="B18" s="77">
        <v>11400</v>
      </c>
      <c r="C18" s="202">
        <f t="shared" si="5"/>
        <v>4723.9939999999997</v>
      </c>
      <c r="D18" s="202">
        <f t="shared" si="5"/>
        <v>5422.8290500000003</v>
      </c>
      <c r="E18" s="202">
        <f t="shared" si="4"/>
        <v>114.79330943265383</v>
      </c>
      <c r="F18" s="202">
        <f>район!C48</f>
        <v>4500</v>
      </c>
      <c r="G18" s="202">
        <f>район!D48</f>
        <v>4883.4555500000006</v>
      </c>
      <c r="H18" s="202">
        <f t="shared" si="2"/>
        <v>108.52123444444446</v>
      </c>
      <c r="I18" s="202">
        <f>Справка!BE31</f>
        <v>223.994</v>
      </c>
      <c r="J18" s="202">
        <f>Справка!BF31</f>
        <v>539.37350000000004</v>
      </c>
      <c r="K18" s="203">
        <f>J18/I18*100</f>
        <v>240.79819102297387</v>
      </c>
    </row>
    <row r="19" spans="1:13" ht="23.25" customHeight="1">
      <c r="A19" s="81" t="s">
        <v>239</v>
      </c>
      <c r="B19" s="77">
        <v>11500</v>
      </c>
      <c r="C19" s="202">
        <f t="shared" si="5"/>
        <v>0</v>
      </c>
      <c r="D19" s="202">
        <f t="shared" si="5"/>
        <v>0</v>
      </c>
      <c r="E19" s="202"/>
      <c r="F19" s="202">
        <f>район!C52</f>
        <v>0</v>
      </c>
      <c r="G19" s="202">
        <f>район!D52</f>
        <v>0</v>
      </c>
      <c r="H19" s="202"/>
      <c r="I19" s="202"/>
      <c r="J19" s="202"/>
      <c r="K19" s="203"/>
    </row>
    <row r="20" spans="1:13" ht="22.5" customHeight="1">
      <c r="A20" s="81" t="s">
        <v>193</v>
      </c>
      <c r="B20" s="77">
        <v>11600</v>
      </c>
      <c r="C20" s="202">
        <f t="shared" si="5"/>
        <v>2800</v>
      </c>
      <c r="D20" s="202">
        <f t="shared" si="5"/>
        <v>2450.5085199999999</v>
      </c>
      <c r="E20" s="202">
        <f t="shared" si="4"/>
        <v>87.518161428571432</v>
      </c>
      <c r="F20" s="202">
        <f>район!C54</f>
        <v>2800</v>
      </c>
      <c r="G20" s="202">
        <f>район!D54</f>
        <v>2166.24208</v>
      </c>
      <c r="H20" s="202">
        <f t="shared" si="2"/>
        <v>77.365788571428567</v>
      </c>
      <c r="I20" s="202">
        <f>Справка!BN31</f>
        <v>0</v>
      </c>
      <c r="J20" s="202">
        <f>Справка!BO31</f>
        <v>284.26643999999999</v>
      </c>
      <c r="K20" s="203">
        <v>0</v>
      </c>
    </row>
    <row r="21" spans="1:13" ht="24" customHeight="1">
      <c r="A21" s="81" t="s">
        <v>194</v>
      </c>
      <c r="B21" s="77">
        <v>11700</v>
      </c>
      <c r="C21" s="202">
        <f t="shared" si="5"/>
        <v>0</v>
      </c>
      <c r="D21" s="202">
        <f t="shared" si="5"/>
        <v>-4.3095600000000003</v>
      </c>
      <c r="E21" s="202"/>
      <c r="F21" s="202">
        <f>район!C60</f>
        <v>0</v>
      </c>
      <c r="G21" s="202">
        <f>район!D60</f>
        <v>0</v>
      </c>
      <c r="H21" s="202"/>
      <c r="I21" s="202">
        <f>Справка!BQ31</f>
        <v>0</v>
      </c>
      <c r="J21" s="202">
        <f>Справка!BR31</f>
        <v>-4.3095600000000003</v>
      </c>
      <c r="K21" s="203">
        <v>0</v>
      </c>
    </row>
    <row r="22" spans="1:13" ht="45.75" hidden="1" customHeight="1">
      <c r="A22" s="79" t="s">
        <v>195</v>
      </c>
      <c r="B22" s="76">
        <v>30000</v>
      </c>
      <c r="C22" s="449">
        <f>F22+I22</f>
        <v>0</v>
      </c>
      <c r="D22" s="449">
        <f>G22+J22</f>
        <v>0</v>
      </c>
      <c r="E22" s="201"/>
      <c r="F22" s="201">
        <v>0</v>
      </c>
      <c r="G22" s="201">
        <v>0</v>
      </c>
      <c r="H22" s="201"/>
      <c r="I22" s="201">
        <v>0</v>
      </c>
      <c r="J22" s="201">
        <v>0</v>
      </c>
      <c r="K22" s="201"/>
    </row>
    <row r="23" spans="1:13" ht="29.25" customHeight="1">
      <c r="A23" s="79" t="s">
        <v>16</v>
      </c>
      <c r="B23" s="76">
        <v>10000</v>
      </c>
      <c r="C23" s="204">
        <f>SUM(C4,C14,C22,)</f>
        <v>207504.66769</v>
      </c>
      <c r="D23" s="204">
        <f>SUM(D4,D14,D22,)</f>
        <v>181531.29703999998</v>
      </c>
      <c r="E23" s="201">
        <f t="shared" si="4"/>
        <v>87.482994508440299</v>
      </c>
      <c r="F23" s="204">
        <f>SUM(F4,F14,)</f>
        <v>164226.1</v>
      </c>
      <c r="G23" s="204">
        <f>SUM(G4,G14,G22)</f>
        <v>142812.56494000001</v>
      </c>
      <c r="H23" s="201">
        <f t="shared" si="2"/>
        <v>86.960942834299786</v>
      </c>
      <c r="I23" s="204">
        <f>I4+I14</f>
        <v>43278.567690000003</v>
      </c>
      <c r="J23" s="204">
        <f>J4+J14</f>
        <v>38718.732099999994</v>
      </c>
      <c r="K23" s="201">
        <f>J23/I23*100</f>
        <v>89.46398683371028</v>
      </c>
    </row>
    <row r="24" spans="1:13" ht="32.25" customHeight="1">
      <c r="A24" s="79" t="s">
        <v>196</v>
      </c>
      <c r="B24" s="76">
        <v>20200</v>
      </c>
      <c r="C24" s="205">
        <v>683889.44932999997</v>
      </c>
      <c r="D24" s="205">
        <v>683889.44932999997</v>
      </c>
      <c r="E24" s="204">
        <f t="shared" si="4"/>
        <v>100</v>
      </c>
      <c r="F24" s="204">
        <f>район!C64</f>
        <v>704776.44002999994</v>
      </c>
      <c r="G24" s="204">
        <f>SUM(район!D64)</f>
        <v>521900.48564000003</v>
      </c>
      <c r="H24" s="201">
        <f t="shared" si="2"/>
        <v>74.051920012789367</v>
      </c>
      <c r="I24" s="204">
        <f>Справка!BZ31</f>
        <v>173708.15508</v>
      </c>
      <c r="J24" s="484">
        <f>Справка!CA31</f>
        <v>103192.23572</v>
      </c>
      <c r="K24" s="201">
        <f t="shared" ref="K24:K38" si="6">J24/I24*100</f>
        <v>59.405521676558926</v>
      </c>
    </row>
    <row r="25" spans="1:13" ht="33" customHeight="1">
      <c r="A25" s="79" t="s">
        <v>288</v>
      </c>
      <c r="B25" s="76">
        <v>20700</v>
      </c>
      <c r="C25" s="206">
        <f>F25+I25</f>
        <v>3920.0093000000002</v>
      </c>
      <c r="D25" s="206">
        <f>G25+J25</f>
        <v>4068.4711499999994</v>
      </c>
      <c r="E25" s="204">
        <f t="shared" si="4"/>
        <v>103.78728310670078</v>
      </c>
      <c r="F25" s="204"/>
      <c r="G25" s="204"/>
      <c r="H25" s="201"/>
      <c r="I25" s="204">
        <f>Справка!CR31</f>
        <v>3920.0093000000002</v>
      </c>
      <c r="J25" s="204">
        <f>Справка!CS31</f>
        <v>4068.4711499999994</v>
      </c>
      <c r="K25" s="201">
        <f t="shared" si="6"/>
        <v>103.78728310670078</v>
      </c>
    </row>
    <row r="26" spans="1:13" ht="33" customHeight="1">
      <c r="A26" s="79" t="s">
        <v>250</v>
      </c>
      <c r="B26" s="77">
        <v>21900</v>
      </c>
      <c r="C26" s="206">
        <f>F26+I26</f>
        <v>-54002.395109999998</v>
      </c>
      <c r="D26" s="206">
        <f>G26+J26</f>
        <v>-54274.62775</v>
      </c>
      <c r="E26" s="204"/>
      <c r="F26" s="203">
        <f>район!C72</f>
        <v>-54002.395109999998</v>
      </c>
      <c r="G26" s="203">
        <f>район!D72</f>
        <v>-54274.62775</v>
      </c>
      <c r="H26" s="201"/>
      <c r="I26" s="203">
        <v>0</v>
      </c>
      <c r="J26" s="203">
        <v>0</v>
      </c>
      <c r="K26" s="203">
        <v>0</v>
      </c>
      <c r="L26" s="83"/>
    </row>
    <row r="27" spans="1:13" ht="29.25" customHeight="1">
      <c r="A27" s="76" t="s">
        <v>197</v>
      </c>
      <c r="B27" s="76"/>
      <c r="C27" s="208">
        <f>C24+C23</f>
        <v>891394.11702000001</v>
      </c>
      <c r="D27" s="208">
        <f>D24+D23</f>
        <v>865420.74636999995</v>
      </c>
      <c r="E27" s="208">
        <f t="shared" si="4"/>
        <v>97.086207979829283</v>
      </c>
      <c r="F27" s="453">
        <f>F24+F23</f>
        <v>869002.54002999992</v>
      </c>
      <c r="G27" s="208">
        <f>G24+G23</f>
        <v>664713.05058000004</v>
      </c>
      <c r="H27" s="208">
        <f t="shared" si="2"/>
        <v>76.491496855354725</v>
      </c>
      <c r="I27" s="208">
        <f>I24+I23</f>
        <v>216986.72276999999</v>
      </c>
      <c r="J27" s="208">
        <f>J24+J23</f>
        <v>141910.96781999999</v>
      </c>
      <c r="K27" s="207">
        <f t="shared" si="6"/>
        <v>65.400760935230934</v>
      </c>
      <c r="L27" s="95"/>
      <c r="M27" s="83"/>
    </row>
    <row r="28" spans="1:13" ht="29.25" customHeight="1">
      <c r="A28" s="76" t="s">
        <v>198</v>
      </c>
      <c r="B28" s="76"/>
      <c r="C28" s="208">
        <f>C29+C30+C31+C32+C33+C34+C35+C36+C37+C41+C38+C39+C40</f>
        <v>961990.86644000001</v>
      </c>
      <c r="D28" s="208">
        <f>D29+D30+D31+D32+D33+D34+D35+D36+D37+D41+D38+D39+D40</f>
        <v>831250.18514000019</v>
      </c>
      <c r="E28" s="208">
        <f t="shared" si="4"/>
        <v>86.409363554164869</v>
      </c>
      <c r="F28" s="208">
        <f>SUM(F29+F30+F31+F32+F33+F34+F35+F36+F37+F38+F39+F40+F41)</f>
        <v>932831.52230000007</v>
      </c>
      <c r="G28" s="208">
        <f>SUM(G29:G41)</f>
        <v>693191.04604000016</v>
      </c>
      <c r="H28" s="208">
        <f t="shared" si="2"/>
        <v>74.310422564930093</v>
      </c>
      <c r="I28" s="208">
        <f>I29+I30+I31+I32+I33+I34+I35+I36+I37+I38+I39+I40+I41</f>
        <v>223754.48991999996</v>
      </c>
      <c r="J28" s="208">
        <f>J29+J30+J31+J32+J33+J34+J35+J36+J37+J38+J39+J40+J41</f>
        <v>133976.10135000001</v>
      </c>
      <c r="K28" s="207">
        <f t="shared" si="6"/>
        <v>59.876385675166176</v>
      </c>
      <c r="L28" s="95"/>
    </row>
    <row r="29" spans="1:13" ht="30.75" customHeight="1">
      <c r="A29" s="81" t="s">
        <v>199</v>
      </c>
      <c r="B29" s="82" t="s">
        <v>27</v>
      </c>
      <c r="C29" s="257">
        <f>F29+I29</f>
        <v>82679.182679999998</v>
      </c>
      <c r="D29" s="257">
        <f>G29+J29</f>
        <v>62484.885200000004</v>
      </c>
      <c r="E29" s="210">
        <f t="shared" si="4"/>
        <v>75.575112349429446</v>
      </c>
      <c r="F29" s="202">
        <f>район!C79</f>
        <v>58564.259680000003</v>
      </c>
      <c r="G29" s="210">
        <f>район!D79</f>
        <v>41976.363120000002</v>
      </c>
      <c r="H29" s="211">
        <f t="shared" si="2"/>
        <v>71.675734226578385</v>
      </c>
      <c r="I29" s="211">
        <f>Справка!DJ31</f>
        <v>24114.922999999999</v>
      </c>
      <c r="J29" s="211">
        <f>Справка!DK31</f>
        <v>20508.522079999999</v>
      </c>
      <c r="K29" s="211">
        <f t="shared" si="6"/>
        <v>85.044941176051026</v>
      </c>
    </row>
    <row r="30" spans="1:13" ht="30.75" customHeight="1">
      <c r="A30" s="81" t="s">
        <v>200</v>
      </c>
      <c r="B30" s="82" t="s">
        <v>43</v>
      </c>
      <c r="C30" s="206">
        <f>I30</f>
        <v>2380.4</v>
      </c>
      <c r="D30" s="206">
        <f>J30</f>
        <v>1822.46181</v>
      </c>
      <c r="E30" s="210">
        <f t="shared" si="4"/>
        <v>76.561158208704413</v>
      </c>
      <c r="F30" s="202">
        <f>район!C87</f>
        <v>2380.4</v>
      </c>
      <c r="G30" s="210">
        <f>район!D87</f>
        <v>2168.1999999999998</v>
      </c>
      <c r="H30" s="211">
        <f t="shared" si="2"/>
        <v>91.085531843387656</v>
      </c>
      <c r="I30" s="211">
        <f>Справка!DY31</f>
        <v>2380.4</v>
      </c>
      <c r="J30" s="211">
        <f>Справка!DZ31</f>
        <v>1822.46181</v>
      </c>
      <c r="K30" s="211">
        <f t="shared" si="6"/>
        <v>76.561158208704413</v>
      </c>
    </row>
    <row r="31" spans="1:13" ht="33" customHeight="1">
      <c r="A31" s="81" t="s">
        <v>201</v>
      </c>
      <c r="B31" s="82" t="s">
        <v>47</v>
      </c>
      <c r="C31" s="257">
        <f>F31+I31</f>
        <v>5417.0044699999999</v>
      </c>
      <c r="D31" s="257">
        <f>G31+J31</f>
        <v>4590.0721700000004</v>
      </c>
      <c r="E31" s="210">
        <f t="shared" si="4"/>
        <v>84.734509550810841</v>
      </c>
      <c r="F31" s="202">
        <f>район!C89</f>
        <v>5176.2</v>
      </c>
      <c r="G31" s="210">
        <f>район!D89</f>
        <v>4440.5193600000002</v>
      </c>
      <c r="H31" s="211">
        <f t="shared" si="2"/>
        <v>85.787244696881899</v>
      </c>
      <c r="I31" s="211">
        <f>Справка!EB31</f>
        <v>240.80447000000001</v>
      </c>
      <c r="J31" s="211">
        <f>Справка!EC31</f>
        <v>149.55281000000002</v>
      </c>
      <c r="K31" s="211">
        <f t="shared" si="6"/>
        <v>62.105495799143604</v>
      </c>
    </row>
    <row r="32" spans="1:13" ht="30" customHeight="1">
      <c r="A32" s="81" t="s">
        <v>202</v>
      </c>
      <c r="B32" s="82" t="s">
        <v>55</v>
      </c>
      <c r="C32" s="209">
        <v>127803.71475</v>
      </c>
      <c r="D32" s="209">
        <v>127803.71475</v>
      </c>
      <c r="E32" s="210">
        <f t="shared" si="4"/>
        <v>100</v>
      </c>
      <c r="F32" s="202">
        <f>район!C95</f>
        <v>103564.18672</v>
      </c>
      <c r="G32" s="210">
        <f>район!D95</f>
        <v>70757.229149999999</v>
      </c>
      <c r="H32" s="211">
        <f t="shared" si="2"/>
        <v>68.322101868382248</v>
      </c>
      <c r="I32" s="211">
        <f>Справка!EE31</f>
        <v>56209.928029999995</v>
      </c>
      <c r="J32" s="211">
        <f>Справка!EF31</f>
        <v>31854.93404</v>
      </c>
      <c r="K32" s="211">
        <f t="shared" si="6"/>
        <v>56.671365996054277</v>
      </c>
    </row>
    <row r="33" spans="1:12" ht="30" customHeight="1">
      <c r="A33" s="81" t="s">
        <v>203</v>
      </c>
      <c r="B33" s="82" t="s">
        <v>65</v>
      </c>
      <c r="C33" s="209">
        <v>100225.02527</v>
      </c>
      <c r="D33" s="209">
        <v>100225.02527</v>
      </c>
      <c r="E33" s="210">
        <f t="shared" si="4"/>
        <v>100</v>
      </c>
      <c r="F33" s="202">
        <f>район!C102</f>
        <v>64823.335709999999</v>
      </c>
      <c r="G33" s="210">
        <f>район!D102</f>
        <v>35011.634839999999</v>
      </c>
      <c r="H33" s="211">
        <f t="shared" si="2"/>
        <v>54.010850346596584</v>
      </c>
      <c r="I33" s="211">
        <f>Справка!EH31</f>
        <v>91172.260119999992</v>
      </c>
      <c r="J33" s="211">
        <f>Справка!EI31</f>
        <v>49545.653670000007</v>
      </c>
      <c r="K33" s="211">
        <f t="shared" si="6"/>
        <v>54.342903866580173</v>
      </c>
    </row>
    <row r="34" spans="1:12" ht="30" customHeight="1">
      <c r="A34" s="81" t="s">
        <v>204</v>
      </c>
      <c r="B34" s="82" t="s">
        <v>73</v>
      </c>
      <c r="C34" s="206">
        <f>F34</f>
        <v>250</v>
      </c>
      <c r="D34" s="206">
        <f>G34</f>
        <v>50</v>
      </c>
      <c r="E34" s="210">
        <f t="shared" si="4"/>
        <v>20</v>
      </c>
      <c r="F34" s="202">
        <f>район!C106</f>
        <v>250</v>
      </c>
      <c r="G34" s="210">
        <f>район!D106</f>
        <v>50</v>
      </c>
      <c r="H34" s="211">
        <f t="shared" si="2"/>
        <v>20</v>
      </c>
      <c r="I34" s="210"/>
      <c r="J34" s="210"/>
      <c r="K34" s="211">
        <v>0</v>
      </c>
    </row>
    <row r="35" spans="1:12" ht="30" customHeight="1">
      <c r="A35" s="81" t="s">
        <v>205</v>
      </c>
      <c r="B35" s="82" t="s">
        <v>77</v>
      </c>
      <c r="C35" s="206">
        <f>F35</f>
        <v>508225.06796999997</v>
      </c>
      <c r="D35" s="206">
        <f>G35</f>
        <v>399308.5546400001</v>
      </c>
      <c r="E35" s="210">
        <f t="shared" si="4"/>
        <v>78.569236309998573</v>
      </c>
      <c r="F35" s="202">
        <f>район!C108</f>
        <v>508225.06796999997</v>
      </c>
      <c r="G35" s="210">
        <f>район!D108</f>
        <v>399308.5546400001</v>
      </c>
      <c r="H35" s="211">
        <f t="shared" si="2"/>
        <v>78.569236309998573</v>
      </c>
      <c r="I35" s="210"/>
      <c r="J35" s="210"/>
      <c r="K35" s="211">
        <v>0</v>
      </c>
    </row>
    <row r="36" spans="1:12" ht="30" customHeight="1">
      <c r="A36" s="81" t="s">
        <v>206</v>
      </c>
      <c r="B36" s="82" t="s">
        <v>83</v>
      </c>
      <c r="C36" s="209">
        <v>87830.025020000001</v>
      </c>
      <c r="D36" s="209">
        <v>87830.025020000001</v>
      </c>
      <c r="E36" s="210">
        <f t="shared" si="4"/>
        <v>100</v>
      </c>
      <c r="F36" s="202">
        <f>район!C114</f>
        <v>82045.630980000002</v>
      </c>
      <c r="G36" s="210">
        <f>район!D114</f>
        <v>60740.468760000003</v>
      </c>
      <c r="H36" s="211">
        <f t="shared" si="2"/>
        <v>74.032545102622848</v>
      </c>
      <c r="I36" s="211">
        <f>Справка!EK31</f>
        <v>49535.316730000006</v>
      </c>
      <c r="J36" s="211">
        <f>Справка!EL31</f>
        <v>30039.359940000002</v>
      </c>
      <c r="K36" s="211">
        <f t="shared" si="6"/>
        <v>60.642309210889344</v>
      </c>
      <c r="L36" s="83"/>
    </row>
    <row r="37" spans="1:12" ht="30" customHeight="1">
      <c r="A37" s="81" t="s">
        <v>207</v>
      </c>
      <c r="B37" s="82" t="s">
        <v>208</v>
      </c>
      <c r="C37" s="209">
        <v>37707.953710000002</v>
      </c>
      <c r="D37" s="209">
        <v>37707.953710000002</v>
      </c>
      <c r="E37" s="210">
        <f t="shared" si="4"/>
        <v>100</v>
      </c>
      <c r="F37" s="202">
        <f>район!C117</f>
        <v>37705.953709999994</v>
      </c>
      <c r="G37" s="210">
        <f>район!D117</f>
        <v>30303.625939999998</v>
      </c>
      <c r="H37" s="211">
        <f t="shared" si="2"/>
        <v>80.368278635962938</v>
      </c>
      <c r="I37" s="211">
        <f>Справка!EN31</f>
        <v>2</v>
      </c>
      <c r="J37" s="211">
        <f>Справка!EO31</f>
        <v>2</v>
      </c>
      <c r="K37" s="211"/>
    </row>
    <row r="38" spans="1:12" ht="30" customHeight="1">
      <c r="A38" s="81" t="s">
        <v>209</v>
      </c>
      <c r="B38" s="82" t="s">
        <v>92</v>
      </c>
      <c r="C38" s="209">
        <v>9427.4925700000003</v>
      </c>
      <c r="D38" s="209">
        <v>9427.4925700000003</v>
      </c>
      <c r="E38" s="210">
        <f t="shared" si="4"/>
        <v>100</v>
      </c>
      <c r="F38" s="202">
        <f>район!C122</f>
        <v>9328.6350000000002</v>
      </c>
      <c r="G38" s="210">
        <f>район!D122</f>
        <v>6213.6663900000003</v>
      </c>
      <c r="H38" s="211">
        <f t="shared" si="2"/>
        <v>66.608527292578174</v>
      </c>
      <c r="I38" s="211">
        <f>Справка!EQ31</f>
        <v>98.85757000000001</v>
      </c>
      <c r="J38" s="211">
        <f>Справка!ER31</f>
        <v>53.617000000000004</v>
      </c>
      <c r="K38" s="211">
        <f t="shared" si="6"/>
        <v>54.236615364913376</v>
      </c>
    </row>
    <row r="39" spans="1:12" ht="30" customHeight="1">
      <c r="A39" s="81" t="s">
        <v>210</v>
      </c>
      <c r="B39" s="82" t="s">
        <v>104</v>
      </c>
      <c r="C39" s="202">
        <f>F39</f>
        <v>45</v>
      </c>
      <c r="D39" s="202">
        <f>G39</f>
        <v>0</v>
      </c>
      <c r="E39" s="210">
        <f t="shared" si="4"/>
        <v>0</v>
      </c>
      <c r="F39" s="202">
        <f>район!C128</f>
        <v>45</v>
      </c>
      <c r="G39" s="210">
        <f>район!D128</f>
        <v>0</v>
      </c>
      <c r="H39" s="211">
        <f t="shared" si="2"/>
        <v>0</v>
      </c>
      <c r="I39" s="211"/>
      <c r="J39" s="211"/>
      <c r="K39" s="211">
        <v>0</v>
      </c>
    </row>
    <row r="40" spans="1:12" ht="34.5" customHeight="1">
      <c r="A40" s="81" t="s">
        <v>211</v>
      </c>
      <c r="B40" s="82" t="s">
        <v>108</v>
      </c>
      <c r="C40" s="202">
        <f>F40</f>
        <v>0</v>
      </c>
      <c r="D40" s="202">
        <f>G40</f>
        <v>0</v>
      </c>
      <c r="E40" s="210"/>
      <c r="F40" s="202">
        <f>район!C130</f>
        <v>0</v>
      </c>
      <c r="G40" s="210">
        <f>район!D130</f>
        <v>0</v>
      </c>
      <c r="H40" s="211">
        <v>0</v>
      </c>
      <c r="I40" s="211"/>
      <c r="J40" s="212"/>
      <c r="K40" s="211">
        <v>0</v>
      </c>
    </row>
    <row r="41" spans="1:12" ht="30" customHeight="1">
      <c r="A41" s="81" t="s">
        <v>212</v>
      </c>
      <c r="B41" s="82" t="s">
        <v>213</v>
      </c>
      <c r="C41" s="202">
        <v>0</v>
      </c>
      <c r="D41" s="202">
        <v>0</v>
      </c>
      <c r="E41" s="210">
        <v>0</v>
      </c>
      <c r="F41" s="202">
        <f>район!C132</f>
        <v>60722.852530000004</v>
      </c>
      <c r="G41" s="210">
        <f>район!D132</f>
        <v>42220.783840000004</v>
      </c>
      <c r="H41" s="211">
        <f t="shared" si="2"/>
        <v>69.530303799777698</v>
      </c>
      <c r="I41" s="211">
        <f>Справка!ET31</f>
        <v>0</v>
      </c>
      <c r="J41" s="212">
        <f>Справка!EU31</f>
        <v>0</v>
      </c>
      <c r="K41" s="21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-70596.749420000007</v>
      </c>
      <c r="D43" s="139">
        <f>D27-D28</f>
        <v>34170.561229999759</v>
      </c>
      <c r="E43" s="139"/>
      <c r="F43" s="139">
        <f>F27-F28</f>
        <v>-63828.982270000153</v>
      </c>
      <c r="G43" s="139">
        <f>G27-G28</f>
        <v>-28477.995460000122</v>
      </c>
      <c r="H43" s="139"/>
      <c r="I43" s="139">
        <f>I27-I28</f>
        <v>-6767.7671499999706</v>
      </c>
      <c r="J43" s="139">
        <f>J27-J28</f>
        <v>7934.866469999979</v>
      </c>
      <c r="K43" s="139"/>
    </row>
    <row r="44" spans="1:12" hidden="1">
      <c r="A44" s="140"/>
      <c r="B44" s="141"/>
      <c r="C44" s="139">
        <f>C43-F44</f>
        <v>1.1641532182693481E-10</v>
      </c>
      <c r="D44" s="139">
        <f>D43-G44</f>
        <v>54713.690219999902</v>
      </c>
      <c r="E44" s="139"/>
      <c r="F44" s="139">
        <f>F43+I43</f>
        <v>-70596.749420000124</v>
      </c>
      <c r="G44" s="139">
        <f>G43+J43</f>
        <v>-20543.128990000143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737891.8444399999</v>
      </c>
      <c r="G45" s="143">
        <f>D28+G44-D23-D26</f>
        <v>683450.38686000009</v>
      </c>
      <c r="H45" s="137"/>
      <c r="I45" s="137"/>
      <c r="J45" s="137"/>
      <c r="K45" s="139"/>
    </row>
    <row r="46" spans="1:12">
      <c r="A46" s="140"/>
      <c r="B46" s="141"/>
      <c r="C46" s="215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ht="47.25">
      <c r="A49" s="140" t="s">
        <v>405</v>
      </c>
      <c r="B49" s="141"/>
      <c r="C49" s="144"/>
      <c r="D49" s="144" t="s">
        <v>254</v>
      </c>
      <c r="E49" s="143"/>
      <c r="F49" s="143"/>
      <c r="G49" s="143"/>
      <c r="H49" s="137"/>
      <c r="I49" s="137"/>
      <c r="J49" s="137"/>
      <c r="K49" s="137"/>
    </row>
    <row r="50" spans="1:11">
      <c r="A50" s="140"/>
      <c r="B50" s="141"/>
      <c r="C50" s="144"/>
      <c r="D50" s="503"/>
      <c r="E50" s="503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5BFCA170-DEAE-4D2C-98A0-1E68B427AC01}" scale="80" showPageBreaks="1" printArea="1" hiddenRows="1" view="pageBreakPreview">
      <selection activeCell="C10" sqref="C1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1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2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B30CE22D-C12F-4E12-8BB9-3AAE0A6991CC}" scale="80" showPageBreaks="1" printArea="1" hiddenRows="1" view="pageBreakPreview">
      <selection activeCell="G23" sqref="G2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8"/>
    </customSheetView>
    <customSheetView guid="{61528DAC-5C4C-48F4-ADE2-8A724B05A086}" scale="80" showPageBreaks="1" printArea="1" hiddenRows="1" view="pageBreakPreview">
      <selection activeCell="J4" sqref="J4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43" zoomScale="70" zoomScaleSheetLayoutView="70" workbookViewId="0">
      <selection activeCell="D31" sqref="D31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6" t="s">
        <v>426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6.75" customHeight="1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2928.54</v>
      </c>
      <c r="D4" s="5">
        <f>D5+D12+D14+D17+D7</f>
        <v>1963.7910100000001</v>
      </c>
      <c r="E4" s="5">
        <f>SUM(D4/C4*100)</f>
        <v>67.056998026320286</v>
      </c>
      <c r="F4" s="5">
        <f>SUM(D4-C4)</f>
        <v>-964.74898999999982</v>
      </c>
    </row>
    <row r="5" spans="1:6" s="6" customFormat="1">
      <c r="A5" s="68">
        <v>1010000000</v>
      </c>
      <c r="B5" s="67" t="s">
        <v>5</v>
      </c>
      <c r="C5" s="5">
        <f>C6</f>
        <v>187.5</v>
      </c>
      <c r="D5" s="5">
        <f>D6</f>
        <v>211.44763</v>
      </c>
      <c r="E5" s="5">
        <f t="shared" ref="E5:E51" si="0">SUM(D5/C5*100)</f>
        <v>112.77206933333332</v>
      </c>
      <c r="F5" s="5">
        <f t="shared" ref="F5:F51" si="1">SUM(D5-C5)</f>
        <v>23.947630000000004</v>
      </c>
    </row>
    <row r="6" spans="1:6">
      <c r="A6" s="7">
        <v>1010200001</v>
      </c>
      <c r="B6" s="8" t="s">
        <v>224</v>
      </c>
      <c r="C6" s="9">
        <v>187.5</v>
      </c>
      <c r="D6" s="10">
        <v>211.44763</v>
      </c>
      <c r="E6" s="9">
        <f t="shared" ref="E6:E11" si="2">SUM(D6/C6*100)</f>
        <v>112.77206933333332</v>
      </c>
      <c r="F6" s="9">
        <f t="shared" si="1"/>
        <v>23.947630000000004</v>
      </c>
    </row>
    <row r="7" spans="1:6" ht="31.5">
      <c r="A7" s="3">
        <v>1030000000</v>
      </c>
      <c r="B7" s="13" t="s">
        <v>266</v>
      </c>
      <c r="C7" s="5">
        <f>C8+C10+C9</f>
        <v>493.04000000000008</v>
      </c>
      <c r="D7" s="5">
        <f>D8+D9+D10+D11</f>
        <v>430.01004000000006</v>
      </c>
      <c r="E7" s="9">
        <f t="shared" si="2"/>
        <v>87.21605549245497</v>
      </c>
      <c r="F7" s="9">
        <f t="shared" si="1"/>
        <v>-63.029960000000017</v>
      </c>
    </row>
    <row r="8" spans="1:6">
      <c r="A8" s="7">
        <v>1030223001</v>
      </c>
      <c r="B8" s="8" t="s">
        <v>268</v>
      </c>
      <c r="C8" s="9">
        <v>183.91</v>
      </c>
      <c r="D8" s="10">
        <v>198.09909999999999</v>
      </c>
      <c r="E8" s="9">
        <f t="shared" si="2"/>
        <v>107.71524115056278</v>
      </c>
      <c r="F8" s="9">
        <f t="shared" si="1"/>
        <v>14.189099999999996</v>
      </c>
    </row>
    <row r="9" spans="1:6">
      <c r="A9" s="7">
        <v>1030224001</v>
      </c>
      <c r="B9" s="8" t="s">
        <v>274</v>
      </c>
      <c r="C9" s="9">
        <v>1.97</v>
      </c>
      <c r="D9" s="10">
        <v>1.4212400000000001</v>
      </c>
      <c r="E9" s="9">
        <f t="shared" si="2"/>
        <v>72.144162436548228</v>
      </c>
      <c r="F9" s="9">
        <f t="shared" si="1"/>
        <v>-0.54875999999999991</v>
      </c>
    </row>
    <row r="10" spans="1:6">
      <c r="A10" s="7">
        <v>1030225001</v>
      </c>
      <c r="B10" s="8" t="s">
        <v>267</v>
      </c>
      <c r="C10" s="9">
        <v>307.16000000000003</v>
      </c>
      <c r="D10" s="10">
        <v>266.17137000000002</v>
      </c>
      <c r="E10" s="9">
        <f t="shared" si="2"/>
        <v>86.655609454356039</v>
      </c>
      <c r="F10" s="9">
        <f t="shared" si="1"/>
        <v>-40.988630000000001</v>
      </c>
    </row>
    <row r="11" spans="1:6">
      <c r="A11" s="7">
        <v>1030265001</v>
      </c>
      <c r="B11" s="8" t="s">
        <v>276</v>
      </c>
      <c r="C11" s="9">
        <v>0</v>
      </c>
      <c r="D11" s="10">
        <v>-35.681669999999997</v>
      </c>
      <c r="E11" s="9" t="e">
        <f t="shared" si="2"/>
        <v>#DIV/0!</v>
      </c>
      <c r="F11" s="9">
        <f t="shared" si="1"/>
        <v>-35.681669999999997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4.1540999999999997</v>
      </c>
      <c r="E12" s="5">
        <f t="shared" si="0"/>
        <v>13.846999999999998</v>
      </c>
      <c r="F12" s="5">
        <f t="shared" si="1"/>
        <v>-25.8459</v>
      </c>
    </row>
    <row r="13" spans="1:6" ht="15.75" customHeight="1">
      <c r="A13" s="7">
        <v>1050300000</v>
      </c>
      <c r="B13" s="11" t="s">
        <v>225</v>
      </c>
      <c r="C13" s="12">
        <v>30</v>
      </c>
      <c r="D13" s="10">
        <v>4.1540999999999997</v>
      </c>
      <c r="E13" s="9">
        <f t="shared" si="0"/>
        <v>13.846999999999998</v>
      </c>
      <c r="F13" s="9">
        <f t="shared" si="1"/>
        <v>-25.8459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2212</v>
      </c>
      <c r="D14" s="5">
        <f>D15+D16</f>
        <v>1311.12924</v>
      </c>
      <c r="E14" s="5">
        <f t="shared" si="0"/>
        <v>59.273473779385164</v>
      </c>
      <c r="F14" s="5">
        <f t="shared" si="1"/>
        <v>-900.87076000000002</v>
      </c>
    </row>
    <row r="15" spans="1:6" s="6" customFormat="1" ht="15.75" customHeight="1">
      <c r="A15" s="7">
        <v>1060100000</v>
      </c>
      <c r="B15" s="11" t="s">
        <v>8</v>
      </c>
      <c r="C15" s="9">
        <v>290</v>
      </c>
      <c r="D15" s="10">
        <v>177.47019</v>
      </c>
      <c r="E15" s="9">
        <f t="shared" si="0"/>
        <v>61.196617241379315</v>
      </c>
      <c r="F15" s="9">
        <f>SUM(D15-C15)</f>
        <v>-112.52981</v>
      </c>
    </row>
    <row r="16" spans="1:6" ht="15.75" customHeight="1">
      <c r="A16" s="7">
        <v>1060600000</v>
      </c>
      <c r="B16" s="11" t="s">
        <v>7</v>
      </c>
      <c r="C16" s="9">
        <v>1922</v>
      </c>
      <c r="D16" s="10">
        <v>1133.65905</v>
      </c>
      <c r="E16" s="9">
        <f t="shared" si="0"/>
        <v>58.98330124869927</v>
      </c>
      <c r="F16" s="9">
        <f t="shared" si="1"/>
        <v>-788.34095000000002</v>
      </c>
    </row>
    <row r="17" spans="1:6" s="6" customFormat="1">
      <c r="A17" s="3">
        <v>1080000000</v>
      </c>
      <c r="B17" s="4" t="s">
        <v>10</v>
      </c>
      <c r="C17" s="5">
        <f>C18</f>
        <v>6</v>
      </c>
      <c r="D17" s="5">
        <f>D18</f>
        <v>7.05</v>
      </c>
      <c r="E17" s="5">
        <f t="shared" si="0"/>
        <v>117.5</v>
      </c>
      <c r="F17" s="5">
        <f t="shared" si="1"/>
        <v>1.0499999999999998</v>
      </c>
    </row>
    <row r="18" spans="1:6" ht="18" customHeight="1">
      <c r="A18" s="7">
        <v>1080400001</v>
      </c>
      <c r="B18" s="8" t="s">
        <v>223</v>
      </c>
      <c r="C18" s="9">
        <v>6</v>
      </c>
      <c r="D18" s="9">
        <v>7.05</v>
      </c>
      <c r="E18" s="9">
        <f t="shared" si="0"/>
        <v>117.5</v>
      </c>
      <c r="F18" s="9">
        <f t="shared" si="1"/>
        <v>1.0499999999999998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334.4</v>
      </c>
      <c r="D25" s="5">
        <f>D26+D29+D31+D36+D34</f>
        <v>314.20263</v>
      </c>
      <c r="E25" s="5">
        <f t="shared" si="0"/>
        <v>93.96011662679426</v>
      </c>
      <c r="F25" s="5">
        <f t="shared" si="1"/>
        <v>-20.197369999999978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284.39999999999998</v>
      </c>
      <c r="D26" s="5">
        <f>D27+D28</f>
        <v>285.37477999999999</v>
      </c>
      <c r="E26" s="5">
        <f t="shared" si="0"/>
        <v>100.34274964838256</v>
      </c>
      <c r="F26" s="5">
        <f t="shared" si="1"/>
        <v>0.97478000000000975</v>
      </c>
    </row>
    <row r="27" spans="1:6" ht="15.75" customHeight="1">
      <c r="A27" s="16">
        <v>1110502510</v>
      </c>
      <c r="B27" s="17" t="s">
        <v>221</v>
      </c>
      <c r="C27" s="12">
        <v>230.4</v>
      </c>
      <c r="D27" s="12">
        <v>235.87477999999999</v>
      </c>
      <c r="E27" s="9">
        <f t="shared" si="0"/>
        <v>102.37620659722222</v>
      </c>
      <c r="F27" s="9">
        <f t="shared" si="1"/>
        <v>5.4747799999999813</v>
      </c>
    </row>
    <row r="28" spans="1:6" ht="17.25" customHeight="1">
      <c r="A28" s="7">
        <v>1110503510</v>
      </c>
      <c r="B28" s="11" t="s">
        <v>220</v>
      </c>
      <c r="C28" s="12">
        <v>54</v>
      </c>
      <c r="D28" s="10">
        <v>49.5</v>
      </c>
      <c r="E28" s="9">
        <f t="shared" si="0"/>
        <v>91.666666666666657</v>
      </c>
      <c r="F28" s="9">
        <f t="shared" si="1"/>
        <v>-4.5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50</v>
      </c>
      <c r="D29" s="5">
        <f>D30</f>
        <v>19.610669999999999</v>
      </c>
      <c r="E29" s="5">
        <f t="shared" si="0"/>
        <v>39.221339999999998</v>
      </c>
      <c r="F29" s="5">
        <f t="shared" si="1"/>
        <v>-30.389330000000001</v>
      </c>
    </row>
    <row r="30" spans="1:6" ht="15.75" customHeight="1">
      <c r="A30" s="7">
        <v>1130206005</v>
      </c>
      <c r="B30" s="8" t="s">
        <v>219</v>
      </c>
      <c r="C30" s="9">
        <v>50</v>
      </c>
      <c r="D30" s="10">
        <v>19.610669999999999</v>
      </c>
      <c r="E30" s="9">
        <f t="shared" si="0"/>
        <v>39.221339999999998</v>
      </c>
      <c r="F30" s="9">
        <f t="shared" si="1"/>
        <v>-30.389330000000001</v>
      </c>
    </row>
    <row r="31" spans="1:6" ht="19.5" customHeight="1">
      <c r="A31" s="70">
        <v>1140000000</v>
      </c>
      <c r="B31" s="71" t="s">
        <v>129</v>
      </c>
      <c r="C31" s="5">
        <f>C32+C33</f>
        <v>0</v>
      </c>
      <c r="D31" s="5">
        <f>D32+D33</f>
        <v>7.68</v>
      </c>
      <c r="E31" s="5" t="e">
        <f t="shared" si="0"/>
        <v>#DIV/0!</v>
      </c>
      <c r="F31" s="5">
        <f t="shared" si="1"/>
        <v>7.68</v>
      </c>
    </row>
    <row r="32" spans="1:6" ht="20.25" customHeight="1">
      <c r="A32" s="16">
        <v>1140200000</v>
      </c>
      <c r="B32" s="18" t="s">
        <v>130</v>
      </c>
      <c r="C32" s="9"/>
      <c r="D32" s="10">
        <v>7.68</v>
      </c>
      <c r="E32" s="9" t="e">
        <f t="shared" si="0"/>
        <v>#DIV/0!</v>
      </c>
      <c r="F32" s="9">
        <f t="shared" si="1"/>
        <v>7.68</v>
      </c>
    </row>
    <row r="33" spans="1:7" ht="21.7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7">
        <v>1160000000</v>
      </c>
      <c r="B34" s="13" t="s">
        <v>323</v>
      </c>
      <c r="C34" s="9">
        <v>0</v>
      </c>
      <c r="D34" s="14">
        <v>1.53718</v>
      </c>
      <c r="E34" s="9" t="e">
        <f>SUM(D34/C34*100)</f>
        <v>#DIV/0!</v>
      </c>
      <c r="F34" s="9">
        <f>SUM(D34-C34)</f>
        <v>1.53718</v>
      </c>
    </row>
    <row r="35" spans="1:7" ht="38.25" customHeight="1">
      <c r="A35" s="7">
        <v>11607010000</v>
      </c>
      <c r="B35" s="8" t="s">
        <v>414</v>
      </c>
      <c r="C35" s="9">
        <v>0</v>
      </c>
      <c r="D35" s="10">
        <v>1.53718</v>
      </c>
      <c r="E35" s="9" t="e">
        <f>SUM(D35/C35*100)</f>
        <v>#DIV/0!</v>
      </c>
      <c r="F35" s="9">
        <f>SUM(D35-C35)</f>
        <v>1.53718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.7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8.7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127">
        <f>SUM(C4,C25)</f>
        <v>3262.94</v>
      </c>
      <c r="D39" s="127">
        <f>SUM(D4,D25)</f>
        <v>2277.9936400000001</v>
      </c>
      <c r="E39" s="5">
        <f t="shared" si="0"/>
        <v>69.8141442993129</v>
      </c>
      <c r="F39" s="5">
        <f t="shared" si="1"/>
        <v>-984.94635999999991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17264.311570000002</v>
      </c>
      <c r="D40" s="5">
        <f>D41+D43+D45+D46+D48+D49+D42+D47</f>
        <v>7349.5482899999997</v>
      </c>
      <c r="E40" s="5">
        <f t="shared" si="0"/>
        <v>42.570757948849966</v>
      </c>
      <c r="F40" s="5">
        <f t="shared" si="1"/>
        <v>-9914.7632800000029</v>
      </c>
      <c r="G40" s="19"/>
    </row>
    <row r="41" spans="1:7">
      <c r="A41" s="16">
        <v>2021000000</v>
      </c>
      <c r="B41" s="17" t="s">
        <v>18</v>
      </c>
      <c r="C41" s="99">
        <v>1597</v>
      </c>
      <c r="D41" s="20">
        <v>1463.8910000000001</v>
      </c>
      <c r="E41" s="9">
        <f t="shared" si="0"/>
        <v>91.66505948653726</v>
      </c>
      <c r="F41" s="9">
        <f t="shared" si="1"/>
        <v>-133.10899999999992</v>
      </c>
    </row>
    <row r="42" spans="1:7" ht="17.25" customHeight="1">
      <c r="A42" s="16">
        <v>2021500200</v>
      </c>
      <c r="B42" s="17" t="s">
        <v>227</v>
      </c>
      <c r="C42" s="12">
        <v>568</v>
      </c>
      <c r="D42" s="20">
        <v>603</v>
      </c>
      <c r="E42" s="9">
        <f>SUM(D42/C42*100)</f>
        <v>106.16197183098592</v>
      </c>
      <c r="F42" s="9">
        <f>SUM(D42-C42)</f>
        <v>35</v>
      </c>
    </row>
    <row r="43" spans="1:7" ht="19.5" customHeight="1">
      <c r="A43" s="16">
        <v>2022000000</v>
      </c>
      <c r="B43" s="17" t="s">
        <v>19</v>
      </c>
      <c r="C43" s="12">
        <v>12527.42121</v>
      </c>
      <c r="D43" s="10">
        <v>3249.9247999999998</v>
      </c>
      <c r="E43" s="9">
        <f t="shared" si="0"/>
        <v>25.942488446111728</v>
      </c>
      <c r="F43" s="9">
        <f t="shared" si="1"/>
        <v>-9277.4964099999997</v>
      </c>
    </row>
    <row r="44" spans="1:7" hidden="1">
      <c r="A44" s="16">
        <v>2022999910</v>
      </c>
      <c r="B44" s="18" t="s">
        <v>328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198.36600000000001</v>
      </c>
      <c r="D45" s="187">
        <v>180.68299999999999</v>
      </c>
      <c r="E45" s="9">
        <f t="shared" si="0"/>
        <v>91.08566992327313</v>
      </c>
      <c r="F45" s="9">
        <f t="shared" si="1"/>
        <v>-17.683000000000021</v>
      </c>
    </row>
    <row r="46" spans="1:7" ht="19.5" customHeight="1">
      <c r="A46" s="16">
        <v>2020400000</v>
      </c>
      <c r="B46" s="17" t="s">
        <v>21</v>
      </c>
      <c r="C46" s="12">
        <v>2019.83087</v>
      </c>
      <c r="D46" s="188">
        <v>1498.356</v>
      </c>
      <c r="E46" s="9">
        <f t="shared" si="0"/>
        <v>74.182250714882883</v>
      </c>
      <c r="F46" s="9">
        <f t="shared" si="1"/>
        <v>-521.47487000000001</v>
      </c>
    </row>
    <row r="47" spans="1:7" ht="20.25" customHeight="1">
      <c r="A47" s="7">
        <v>2070500010</v>
      </c>
      <c r="B47" s="18" t="s">
        <v>283</v>
      </c>
      <c r="C47" s="12">
        <v>353.69349</v>
      </c>
      <c r="D47" s="188">
        <v>353.69349</v>
      </c>
      <c r="E47" s="9">
        <f t="shared" si="0"/>
        <v>100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22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5">
        <f>C39+C40</f>
        <v>20527.25157</v>
      </c>
      <c r="D51" s="468">
        <f>D39+D40</f>
        <v>9627.5419299999994</v>
      </c>
      <c r="E51" s="5">
        <f t="shared" si="0"/>
        <v>46.901271206079926</v>
      </c>
      <c r="F51" s="5">
        <f t="shared" si="1"/>
        <v>-10899.709640000001</v>
      </c>
      <c r="G51" s="200"/>
    </row>
    <row r="52" spans="1:7" s="6" customFormat="1">
      <c r="A52" s="3"/>
      <c r="B52" s="21" t="s">
        <v>306</v>
      </c>
      <c r="C52" s="5">
        <f>C51-C99</f>
        <v>227.25338000000193</v>
      </c>
      <c r="D52" s="5">
        <f>D51-D99</f>
        <v>480.59159</v>
      </c>
      <c r="E52" s="22"/>
      <c r="F52" s="22"/>
    </row>
    <row r="53" spans="1:7" ht="23.25" customHeight="1">
      <c r="A53" s="23"/>
      <c r="B53" s="24"/>
      <c r="C53" s="178"/>
      <c r="D53" s="178"/>
      <c r="E53" s="132"/>
      <c r="F53" s="92"/>
    </row>
    <row r="54" spans="1:7" ht="65.25" customHeight="1">
      <c r="A54" s="28" t="s">
        <v>0</v>
      </c>
      <c r="B54" s="28" t="s">
        <v>26</v>
      </c>
      <c r="C54" s="72" t="s">
        <v>398</v>
      </c>
      <c r="D54" s="103" t="s">
        <v>416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1516.9949999999999</v>
      </c>
      <c r="D56" s="33">
        <f>D57+D58+D59+D60+D61+D63+D62</f>
        <v>1284.7886800000001</v>
      </c>
      <c r="E56" s="34">
        <f>SUM(D56/C56*100)</f>
        <v>84.693006898506596</v>
      </c>
      <c r="F56" s="34">
        <f>SUM(D56-C56)</f>
        <v>-232.20631999999978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1441</v>
      </c>
      <c r="D58" s="37">
        <v>1216.7886800000001</v>
      </c>
      <c r="E58" s="38">
        <f t="shared" ref="E58:E99" si="3">SUM(D58/C58*100)</f>
        <v>84.440574600971559</v>
      </c>
      <c r="F58" s="38">
        <f t="shared" ref="F58:F99" si="4">SUM(D58-C58)</f>
        <v>-224.21131999999989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7.25" customHeight="1">
      <c r="A61" s="35" t="s">
        <v>37</v>
      </c>
      <c r="B61" s="39" t="s">
        <v>38</v>
      </c>
      <c r="C61" s="37">
        <v>42</v>
      </c>
      <c r="D61" s="37">
        <v>42</v>
      </c>
      <c r="E61" s="38">
        <f t="shared" si="3"/>
        <v>100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41</v>
      </c>
      <c r="B63" s="39" t="s">
        <v>42</v>
      </c>
      <c r="C63" s="37">
        <v>28.995000000000001</v>
      </c>
      <c r="D63" s="37">
        <v>26</v>
      </c>
      <c r="E63" s="38">
        <f t="shared" si="3"/>
        <v>89.670632867735804</v>
      </c>
      <c r="F63" s="38">
        <f t="shared" si="4"/>
        <v>-2.995000000000001</v>
      </c>
    </row>
    <row r="64" spans="1:7" s="6" customFormat="1">
      <c r="A64" s="41" t="s">
        <v>43</v>
      </c>
      <c r="B64" s="42" t="s">
        <v>44</v>
      </c>
      <c r="C64" s="32">
        <f>C65</f>
        <v>198.36600000000001</v>
      </c>
      <c r="D64" s="32">
        <f>D65</f>
        <v>145.63767000000001</v>
      </c>
      <c r="E64" s="34">
        <f t="shared" si="3"/>
        <v>73.418665497111405</v>
      </c>
      <c r="F64" s="34">
        <f t="shared" si="4"/>
        <v>-52.72833</v>
      </c>
    </row>
    <row r="65" spans="1:7">
      <c r="A65" s="43" t="s">
        <v>45</v>
      </c>
      <c r="B65" s="44" t="s">
        <v>46</v>
      </c>
      <c r="C65" s="37">
        <v>198.36600000000001</v>
      </c>
      <c r="D65" s="37">
        <v>145.63767000000001</v>
      </c>
      <c r="E65" s="38">
        <f t="shared" si="3"/>
        <v>73.418665497111405</v>
      </c>
      <c r="F65" s="38">
        <f t="shared" si="4"/>
        <v>-52.72833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10.870000000000001</v>
      </c>
      <c r="D66" s="32">
        <f>SUM(D69+D70+D71)</f>
        <v>10.8696</v>
      </c>
      <c r="E66" s="34">
        <f t="shared" si="3"/>
        <v>99.996320147194112</v>
      </c>
      <c r="F66" s="34">
        <f t="shared" si="4"/>
        <v>-4.0000000000084412E-4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2.87</v>
      </c>
      <c r="D69" s="37">
        <v>2.8696000000000002</v>
      </c>
      <c r="E69" s="38">
        <f t="shared" si="3"/>
        <v>99.986062717770039</v>
      </c>
      <c r="F69" s="38">
        <f t="shared" si="4"/>
        <v>-3.9999999999995595E-4</v>
      </c>
    </row>
    <row r="70" spans="1:7" ht="15.75" customHeight="1">
      <c r="A70" s="46" t="s">
        <v>214</v>
      </c>
      <c r="B70" s="47" t="s">
        <v>215</v>
      </c>
      <c r="C70" s="37">
        <v>6</v>
      </c>
      <c r="D70" s="37">
        <v>6</v>
      </c>
      <c r="E70" s="38">
        <f>SUM(D70/C70*100)</f>
        <v>100</v>
      </c>
      <c r="F70" s="38">
        <f>SUM(D70-C70)</f>
        <v>0</v>
      </c>
    </row>
    <row r="71" spans="1:7" ht="15.75" customHeight="1">
      <c r="A71" s="46" t="s">
        <v>336</v>
      </c>
      <c r="B71" s="47" t="s">
        <v>391</v>
      </c>
      <c r="C71" s="37">
        <v>2</v>
      </c>
      <c r="D71" s="37">
        <v>2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2673.1260299999999</v>
      </c>
      <c r="D72" s="48">
        <f>SUM(D73:D76)</f>
        <v>2388.9096799999998</v>
      </c>
      <c r="E72" s="34">
        <f t="shared" si="3"/>
        <v>89.367641225655191</v>
      </c>
      <c r="F72" s="34">
        <f t="shared" si="4"/>
        <v>-284.21635000000015</v>
      </c>
    </row>
    <row r="73" spans="1:7" ht="17.25" customHeight="1">
      <c r="A73" s="35" t="s">
        <v>57</v>
      </c>
      <c r="B73" s="39" t="s">
        <v>58</v>
      </c>
      <c r="C73" s="49">
        <v>0.83299999999999996</v>
      </c>
      <c r="D73" s="37">
        <v>0</v>
      </c>
      <c r="E73" s="38">
        <f t="shared" si="3"/>
        <v>0</v>
      </c>
      <c r="F73" s="38">
        <f t="shared" si="4"/>
        <v>-0.83299999999999996</v>
      </c>
    </row>
    <row r="74" spans="1:7" s="6" customFormat="1" ht="17.25" hidden="1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2492.6260299999999</v>
      </c>
      <c r="D75" s="37">
        <v>2209.2426799999998</v>
      </c>
      <c r="E75" s="38">
        <f t="shared" si="3"/>
        <v>88.631132524921924</v>
      </c>
      <c r="F75" s="38">
        <f t="shared" si="4"/>
        <v>-283.38335000000006</v>
      </c>
    </row>
    <row r="76" spans="1:7">
      <c r="A76" s="35" t="s">
        <v>63</v>
      </c>
      <c r="B76" s="39" t="s">
        <v>64</v>
      </c>
      <c r="C76" s="49">
        <v>179.667</v>
      </c>
      <c r="D76" s="37">
        <v>179.667</v>
      </c>
      <c r="E76" s="38">
        <f t="shared" si="3"/>
        <v>100</v>
      </c>
      <c r="F76" s="38">
        <f t="shared" si="4"/>
        <v>0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12876.756170000001</v>
      </c>
      <c r="D77" s="32">
        <f>SUM(D78:D81)</f>
        <v>2780.0860000000002</v>
      </c>
      <c r="E77" s="34">
        <f t="shared" si="3"/>
        <v>21.589956067328409</v>
      </c>
      <c r="F77" s="34">
        <f t="shared" si="4"/>
        <v>-10096.670170000001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2949.7453</v>
      </c>
      <c r="D79" s="37">
        <v>878.13481999999999</v>
      </c>
      <c r="E79" s="38">
        <f t="shared" si="3"/>
        <v>29.769852332674279</v>
      </c>
      <c r="F79" s="38">
        <f t="shared" si="4"/>
        <v>-2071.6104800000003</v>
      </c>
    </row>
    <row r="80" spans="1:7" ht="16.5" customHeight="1">
      <c r="A80" s="35" t="s">
        <v>71</v>
      </c>
      <c r="B80" s="39" t="s">
        <v>72</v>
      </c>
      <c r="C80" s="37">
        <v>9927.0108700000001</v>
      </c>
      <c r="D80" s="37">
        <v>1901.95118</v>
      </c>
      <c r="E80" s="38">
        <f t="shared" si="3"/>
        <v>19.159354259879034</v>
      </c>
      <c r="F80" s="38">
        <f t="shared" si="4"/>
        <v>-8025.05969</v>
      </c>
    </row>
    <row r="81" spans="1:6" ht="31.5" hidden="1">
      <c r="A81" s="35" t="s">
        <v>251</v>
      </c>
      <c r="B81" s="39" t="s">
        <v>263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3021.88499</v>
      </c>
      <c r="D82" s="32">
        <f>SUM(D83)</f>
        <v>2536.6587100000002</v>
      </c>
      <c r="E82" s="34">
        <f t="shared" si="3"/>
        <v>83.942926960962865</v>
      </c>
      <c r="F82" s="34">
        <f t="shared" si="4"/>
        <v>-485.22627999999986</v>
      </c>
    </row>
    <row r="83" spans="1:6" ht="16.5" customHeight="1">
      <c r="A83" s="35" t="s">
        <v>85</v>
      </c>
      <c r="B83" s="39" t="s">
        <v>229</v>
      </c>
      <c r="C83" s="37">
        <v>3021.88499</v>
      </c>
      <c r="D83" s="37">
        <v>2536.6587100000002</v>
      </c>
      <c r="E83" s="38">
        <f t="shared" si="3"/>
        <v>83.942926960962865</v>
      </c>
      <c r="F83" s="38">
        <f t="shared" si="4"/>
        <v>-485.22627999999986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9.5" customHeight="1">
      <c r="A90" s="35" t="s">
        <v>94</v>
      </c>
      <c r="B90" s="39" t="s">
        <v>95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102">
        <f>C56+C64+C66+C72+C77+C82+C84+C89+C95</f>
        <v>20299.998189999998</v>
      </c>
      <c r="D99" s="102">
        <f>D56+D64+D66+D72+D77+D82+D84+D89+D95</f>
        <v>9146.9503399999994</v>
      </c>
      <c r="E99" s="34">
        <f t="shared" si="3"/>
        <v>45.058872687515247</v>
      </c>
      <c r="F99" s="34">
        <f t="shared" si="4"/>
        <v>-11153.047849999999</v>
      </c>
    </row>
    <row r="100" spans="1:6" ht="20.25" customHeight="1">
      <c r="C100" s="234"/>
      <c r="D100" s="235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4" t="s">
        <v>119</v>
      </c>
      <c r="D102" s="134"/>
    </row>
    <row r="103" spans="1:6" ht="5.25" customHeight="1"/>
    <row r="142" hidden="1"/>
  </sheetData>
  <customSheetViews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1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5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6"/>
    </customSheetView>
    <customSheetView guid="{B30CE22D-C12F-4E12-8BB9-3AAE0A6991CC}" scale="70" showPageBreaks="1" hiddenRows="1" view="pageBreakPreview" topLeftCell="A40">
      <selection activeCell="C52" activeCellId="1" sqref="C99:D99 C52:D52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42">
      <selection activeCell="C90" sqref="C90"/>
      <pageMargins left="0.7" right="0.7" top="0.75" bottom="0.75" header="0.3" footer="0.3"/>
      <pageSetup paperSize="9" scale="40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7" zoomScale="70" zoomScaleSheetLayoutView="70" workbookViewId="0">
      <selection activeCell="D89" sqref="D89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6" t="s">
        <v>427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1856.54</v>
      </c>
      <c r="D4" s="5">
        <f>D5+D12+D14+D17+D7+D20</f>
        <v>1794.25614</v>
      </c>
      <c r="E4" s="5">
        <f>SUM(D4/C4*100)</f>
        <v>96.645164661143852</v>
      </c>
      <c r="F4" s="5">
        <f>SUM(D4-C4)</f>
        <v>-62.283860000000004</v>
      </c>
    </row>
    <row r="5" spans="1:6" s="6" customFormat="1">
      <c r="A5" s="68">
        <v>1010000000</v>
      </c>
      <c r="B5" s="67" t="s">
        <v>5</v>
      </c>
      <c r="C5" s="5">
        <f>C6</f>
        <v>137.6</v>
      </c>
      <c r="D5" s="5">
        <f>D6</f>
        <v>121.13994</v>
      </c>
      <c r="E5" s="5">
        <f t="shared" ref="E5:E51" si="0">SUM(D5/C5*100)</f>
        <v>88.037747093023256</v>
      </c>
      <c r="F5" s="5">
        <f t="shared" ref="F5:F48" si="1">SUM(D5-C5)</f>
        <v>-16.460059999999999</v>
      </c>
    </row>
    <row r="6" spans="1:6">
      <c r="A6" s="7">
        <v>1010200001</v>
      </c>
      <c r="B6" s="8" t="s">
        <v>224</v>
      </c>
      <c r="C6" s="9">
        <v>137.6</v>
      </c>
      <c r="D6" s="10">
        <v>121.13994</v>
      </c>
      <c r="E6" s="9">
        <f t="shared" ref="E6:E11" si="2">SUM(D6/C6*100)</f>
        <v>88.037747093023256</v>
      </c>
      <c r="F6" s="9">
        <f t="shared" si="1"/>
        <v>-16.460059999999999</v>
      </c>
    </row>
    <row r="7" spans="1:6" ht="31.5">
      <c r="A7" s="3">
        <v>1030000000</v>
      </c>
      <c r="B7" s="13" t="s">
        <v>266</v>
      </c>
      <c r="C7" s="5">
        <f>C8+C10+C9</f>
        <v>609.94000000000005</v>
      </c>
      <c r="D7" s="5">
        <f>D8+D10+D9+D11</f>
        <v>531.97119000000009</v>
      </c>
      <c r="E7" s="9">
        <f t="shared" si="2"/>
        <v>87.216970521690655</v>
      </c>
      <c r="F7" s="9">
        <f t="shared" si="1"/>
        <v>-77.968809999999962</v>
      </c>
    </row>
    <row r="8" spans="1:6">
      <c r="A8" s="7">
        <v>1030223001</v>
      </c>
      <c r="B8" s="8" t="s">
        <v>268</v>
      </c>
      <c r="C8" s="9">
        <v>227.51</v>
      </c>
      <c r="D8" s="10">
        <v>245.0711</v>
      </c>
      <c r="E8" s="9">
        <f t="shared" si="2"/>
        <v>107.71882554612984</v>
      </c>
      <c r="F8" s="9">
        <f t="shared" si="1"/>
        <v>17.56110000000001</v>
      </c>
    </row>
    <row r="9" spans="1:6">
      <c r="A9" s="7">
        <v>1030224001</v>
      </c>
      <c r="B9" s="8" t="s">
        <v>274</v>
      </c>
      <c r="C9" s="9">
        <v>2.44</v>
      </c>
      <c r="D9" s="10">
        <v>1.7582199999999999</v>
      </c>
      <c r="E9" s="9">
        <f t="shared" si="2"/>
        <v>72.058196721311475</v>
      </c>
      <c r="F9" s="9">
        <f t="shared" si="1"/>
        <v>-0.68178000000000005</v>
      </c>
    </row>
    <row r="10" spans="1:6">
      <c r="A10" s="7">
        <v>1030225001</v>
      </c>
      <c r="B10" s="8" t="s">
        <v>267</v>
      </c>
      <c r="C10" s="9">
        <v>379.99</v>
      </c>
      <c r="D10" s="10">
        <v>329.28417000000002</v>
      </c>
      <c r="E10" s="9">
        <f t="shared" si="2"/>
        <v>86.656009368667597</v>
      </c>
      <c r="F10" s="9">
        <f t="shared" si="1"/>
        <v>-50.705829999999992</v>
      </c>
    </row>
    <row r="11" spans="1:6">
      <c r="A11" s="7">
        <v>1030226001</v>
      </c>
      <c r="B11" s="8" t="s">
        <v>276</v>
      </c>
      <c r="C11" s="9">
        <v>0</v>
      </c>
      <c r="D11" s="10">
        <v>-44.142299999999999</v>
      </c>
      <c r="E11" s="9" t="e">
        <f t="shared" si="2"/>
        <v>#DIV/0!</v>
      </c>
      <c r="F11" s="9">
        <f t="shared" si="1"/>
        <v>-44.142299999999999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D13</f>
        <v>93.728849999999994</v>
      </c>
      <c r="E12" s="5">
        <f t="shared" si="0"/>
        <v>187.45769999999999</v>
      </c>
      <c r="F12" s="5">
        <f t="shared" si="1"/>
        <v>43.728849999999994</v>
      </c>
    </row>
    <row r="13" spans="1:6" ht="15.75" customHeight="1">
      <c r="A13" s="7">
        <v>1050300000</v>
      </c>
      <c r="B13" s="11" t="s">
        <v>225</v>
      </c>
      <c r="C13" s="12">
        <v>50</v>
      </c>
      <c r="D13" s="10">
        <v>93.728849999999994</v>
      </c>
      <c r="E13" s="9">
        <f t="shared" si="0"/>
        <v>187.45769999999999</v>
      </c>
      <c r="F13" s="9">
        <f t="shared" si="1"/>
        <v>43.728849999999994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1055</v>
      </c>
      <c r="D14" s="5">
        <f>D15+D16</f>
        <v>1043.91616</v>
      </c>
      <c r="E14" s="5">
        <f t="shared" si="0"/>
        <v>98.949399052132705</v>
      </c>
      <c r="F14" s="5">
        <f t="shared" si="1"/>
        <v>-11.083840000000009</v>
      </c>
    </row>
    <row r="15" spans="1:6" s="6" customFormat="1" ht="15.75" customHeight="1">
      <c r="A15" s="7">
        <v>1060100000</v>
      </c>
      <c r="B15" s="11" t="s">
        <v>8</v>
      </c>
      <c r="C15" s="9">
        <v>150</v>
      </c>
      <c r="D15" s="10">
        <v>154.83536000000001</v>
      </c>
      <c r="E15" s="9">
        <f t="shared" si="0"/>
        <v>103.22357333333333</v>
      </c>
      <c r="F15" s="9">
        <f>SUM(D15-C15)</f>
        <v>4.8353600000000085</v>
      </c>
    </row>
    <row r="16" spans="1:6" ht="15.75" customHeight="1">
      <c r="A16" s="7">
        <v>1060600000</v>
      </c>
      <c r="B16" s="11" t="s">
        <v>7</v>
      </c>
      <c r="C16" s="9">
        <v>905</v>
      </c>
      <c r="D16" s="10">
        <v>889.08079999999995</v>
      </c>
      <c r="E16" s="9">
        <f t="shared" si="0"/>
        <v>98.240972375690603</v>
      </c>
      <c r="F16" s="9">
        <f t="shared" si="1"/>
        <v>-15.919200000000046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3.5</v>
      </c>
      <c r="E17" s="5">
        <f t="shared" si="0"/>
        <v>87.5</v>
      </c>
      <c r="F17" s="5">
        <f t="shared" si="1"/>
        <v>-0.5</v>
      </c>
    </row>
    <row r="18" spans="1:6" ht="18" customHeight="1">
      <c r="A18" s="7">
        <v>1080400001</v>
      </c>
      <c r="B18" s="8" t="s">
        <v>223</v>
      </c>
      <c r="C18" s="9">
        <v>4</v>
      </c>
      <c r="D18" s="10">
        <v>3.5</v>
      </c>
      <c r="E18" s="9">
        <f t="shared" si="0"/>
        <v>87.5</v>
      </c>
      <c r="F18" s="9">
        <f t="shared" si="1"/>
        <v>-0.5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452.15299999999996</v>
      </c>
      <c r="D25" s="5">
        <f>D26+D29+D31+D36+D34</f>
        <v>291.67829</v>
      </c>
      <c r="E25" s="5">
        <f t="shared" si="0"/>
        <v>64.508759203190081</v>
      </c>
      <c r="F25" s="5">
        <f t="shared" si="1"/>
        <v>-160.47470999999996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452.15299999999996</v>
      </c>
      <c r="D26" s="249">
        <f>D27+D28</f>
        <v>221.49928</v>
      </c>
      <c r="E26" s="5">
        <f t="shared" si="0"/>
        <v>48.987683372663682</v>
      </c>
      <c r="F26" s="5">
        <f t="shared" si="1"/>
        <v>-230.65371999999996</v>
      </c>
    </row>
    <row r="27" spans="1:6">
      <c r="A27" s="16">
        <v>1110502510</v>
      </c>
      <c r="B27" s="17" t="s">
        <v>221</v>
      </c>
      <c r="C27" s="12">
        <v>445.45299999999997</v>
      </c>
      <c r="D27" s="10">
        <v>215.29</v>
      </c>
      <c r="E27" s="9">
        <f t="shared" si="0"/>
        <v>48.330575840773328</v>
      </c>
      <c r="F27" s="9">
        <f t="shared" si="1"/>
        <v>-230.16299999999998</v>
      </c>
    </row>
    <row r="28" spans="1:6" ht="18" customHeight="1">
      <c r="A28" s="7">
        <v>1110503510</v>
      </c>
      <c r="B28" s="11" t="s">
        <v>220</v>
      </c>
      <c r="C28" s="12">
        <v>6.7</v>
      </c>
      <c r="D28" s="10">
        <v>6.2092799999999997</v>
      </c>
      <c r="E28" s="9">
        <f t="shared" si="0"/>
        <v>92.675820895522378</v>
      </c>
      <c r="F28" s="9">
        <f t="shared" si="1"/>
        <v>-0.49072000000000049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2.9402900000000001</v>
      </c>
      <c r="E29" s="5" t="e">
        <f t="shared" si="0"/>
        <v>#DIV/0!</v>
      </c>
      <c r="F29" s="5">
        <f t="shared" si="1"/>
        <v>2.9402900000000001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2.9402900000000001</v>
      </c>
      <c r="E30" s="9" t="e">
        <f t="shared" si="0"/>
        <v>#DIV/0!</v>
      </c>
      <c r="F30" s="9">
        <f t="shared" si="1"/>
        <v>2.9402900000000001</v>
      </c>
    </row>
    <row r="31" spans="1:6" ht="12.75" customHeight="1">
      <c r="A31" s="70">
        <v>1140000000</v>
      </c>
      <c r="B31" s="71" t="s">
        <v>129</v>
      </c>
      <c r="C31" s="5">
        <f>C32+C33</f>
        <v>0</v>
      </c>
      <c r="D31" s="5">
        <f>D32+D33</f>
        <v>4.1894999999999998</v>
      </c>
      <c r="E31" s="5" t="e">
        <f t="shared" si="0"/>
        <v>#DIV/0!</v>
      </c>
      <c r="F31" s="5">
        <f t="shared" si="1"/>
        <v>4.1894999999999998</v>
      </c>
    </row>
    <row r="32" spans="1:6" ht="12" customHeight="1">
      <c r="A32" s="16">
        <v>1140200000</v>
      </c>
      <c r="B32" s="18" t="s">
        <v>217</v>
      </c>
      <c r="C32" s="9">
        <v>0</v>
      </c>
      <c r="D32" s="10">
        <v>4.1894999999999998</v>
      </c>
      <c r="E32" s="9" t="e">
        <f t="shared" si="0"/>
        <v>#DIV/0!</v>
      </c>
      <c r="F32" s="9">
        <f t="shared" si="1"/>
        <v>4.1894999999999998</v>
      </c>
    </row>
    <row r="33" spans="1:7" ht="10.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12" customHeight="1">
      <c r="A34" s="3">
        <v>1160000000</v>
      </c>
      <c r="B34" s="13" t="s">
        <v>240</v>
      </c>
      <c r="C34" s="5">
        <f>C35</f>
        <v>0</v>
      </c>
      <c r="D34" s="5">
        <f>D35</f>
        <v>63.049219999999998</v>
      </c>
      <c r="E34" s="9" t="e">
        <f>SUM(D34/C34*100)</f>
        <v>#DIV/0!</v>
      </c>
      <c r="F34" s="9">
        <f>SUM(D34-C34)</f>
        <v>63.049219999999998</v>
      </c>
    </row>
    <row r="35" spans="1:7" ht="26.25" customHeight="1">
      <c r="A35" s="7">
        <v>1167090000</v>
      </c>
      <c r="B35" s="8" t="s">
        <v>255</v>
      </c>
      <c r="C35" s="9">
        <v>0</v>
      </c>
      <c r="D35" s="10">
        <v>63.049219999999998</v>
      </c>
      <c r="E35" s="9" t="e">
        <f>SUM(D35/C35*100)</f>
        <v>#DIV/0!</v>
      </c>
      <c r="F35" s="9">
        <f>SUM(D35-C35)</f>
        <v>63.049219999999998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7">
        <f>SUM(C4,C25)</f>
        <v>2308.6929999999998</v>
      </c>
      <c r="D39" s="127">
        <f>SUM(D4,D25)</f>
        <v>2085.9344299999998</v>
      </c>
      <c r="E39" s="5">
        <f t="shared" si="0"/>
        <v>90.351312625801697</v>
      </c>
      <c r="F39" s="5">
        <f t="shared" si="1"/>
        <v>-222.75856999999996</v>
      </c>
    </row>
    <row r="40" spans="1:7" s="6" customFormat="1">
      <c r="A40" s="3">
        <v>2000000000</v>
      </c>
      <c r="B40" s="4" t="s">
        <v>17</v>
      </c>
      <c r="C40" s="93">
        <f>C41+C42+C43+C44+C48+C49</f>
        <v>12769.92396</v>
      </c>
      <c r="D40" s="470">
        <f>D41+D42+D43+D44+D48+D49+D50</f>
        <v>6519.3431199999995</v>
      </c>
      <c r="E40" s="5">
        <f t="shared" si="0"/>
        <v>51.052325295130416</v>
      </c>
      <c r="F40" s="5">
        <f t="shared" si="1"/>
        <v>-6250.5808400000005</v>
      </c>
      <c r="G40" s="19"/>
    </row>
    <row r="41" spans="1:7">
      <c r="A41" s="16">
        <v>2021000000</v>
      </c>
      <c r="B41" s="17" t="s">
        <v>18</v>
      </c>
      <c r="C41" s="12">
        <v>3036.7</v>
      </c>
      <c r="D41" s="20">
        <v>2783.5940000000001</v>
      </c>
      <c r="E41" s="9">
        <f t="shared" si="0"/>
        <v>91.665096980274654</v>
      </c>
      <c r="F41" s="9">
        <f t="shared" si="1"/>
        <v>-253.10599999999977</v>
      </c>
    </row>
    <row r="42" spans="1:7" ht="17.25" customHeight="1">
      <c r="A42" s="16">
        <v>2021500200</v>
      </c>
      <c r="B42" s="17" t="s">
        <v>227</v>
      </c>
      <c r="C42" s="12">
        <v>10</v>
      </c>
      <c r="D42" s="20">
        <v>0</v>
      </c>
      <c r="E42" s="9">
        <f>SUM(D42/C42*100)</f>
        <v>0</v>
      </c>
      <c r="F42" s="9">
        <f>SUM(D42-C42)</f>
        <v>-10</v>
      </c>
    </row>
    <row r="43" spans="1:7">
      <c r="A43" s="16">
        <v>2022000000</v>
      </c>
      <c r="B43" s="17" t="s">
        <v>19</v>
      </c>
      <c r="C43" s="12">
        <v>7425.0352499999999</v>
      </c>
      <c r="D43" s="10">
        <v>1863.8348699999999</v>
      </c>
      <c r="E43" s="9">
        <f t="shared" si="0"/>
        <v>25.102033960040792</v>
      </c>
      <c r="F43" s="9">
        <f t="shared" si="1"/>
        <v>-5561.2003800000002</v>
      </c>
    </row>
    <row r="44" spans="1:7" ht="18" customHeight="1">
      <c r="A44" s="16">
        <v>2023000000</v>
      </c>
      <c r="B44" s="17" t="s">
        <v>20</v>
      </c>
      <c r="C44" s="12">
        <v>198.36600000000001</v>
      </c>
      <c r="D44" s="187">
        <v>180.68299999999999</v>
      </c>
      <c r="E44" s="9">
        <f t="shared" si="0"/>
        <v>91.08566992327313</v>
      </c>
      <c r="F44" s="9">
        <f t="shared" si="1"/>
        <v>-17.683000000000021</v>
      </c>
    </row>
    <row r="45" spans="1:7" ht="0.75" hidden="1" customHeight="1">
      <c r="A45" s="16">
        <v>2020400000</v>
      </c>
      <c r="B45" s="17" t="s">
        <v>21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20.25" customHeight="1">
      <c r="A48" s="7">
        <v>2024000000</v>
      </c>
      <c r="B48" s="8" t="s">
        <v>21</v>
      </c>
      <c r="C48" s="12">
        <v>1639.27214</v>
      </c>
      <c r="D48" s="10">
        <v>1258</v>
      </c>
      <c r="E48" s="9">
        <f t="shared" si="0"/>
        <v>76.741376206149639</v>
      </c>
      <c r="F48" s="9">
        <f t="shared" si="1"/>
        <v>-381.27214000000004</v>
      </c>
    </row>
    <row r="49" spans="1:7" s="6" customFormat="1" ht="18.75" customHeight="1">
      <c r="A49" s="7">
        <v>2070500010</v>
      </c>
      <c r="B49" s="8" t="s">
        <v>331</v>
      </c>
      <c r="C49" s="12">
        <v>460.55056999999999</v>
      </c>
      <c r="D49" s="10">
        <v>433.23124999999999</v>
      </c>
      <c r="E49" s="9">
        <f>SUM(D49/C49*100)</f>
        <v>94.068117210233822</v>
      </c>
      <c r="F49" s="9">
        <f>SUM(D49-C49)</f>
        <v>-27.319320000000005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470">
        <f>C39+C40</f>
        <v>15078.616959999999</v>
      </c>
      <c r="D51" s="470">
        <f>SUM(D39,D40,)</f>
        <v>8605.2775499999989</v>
      </c>
      <c r="E51" s="5">
        <f t="shared" si="0"/>
        <v>57.069408771558841</v>
      </c>
      <c r="F51" s="5">
        <f>SUM(D51-C51)</f>
        <v>-6473.3394100000005</v>
      </c>
      <c r="G51" s="200"/>
    </row>
    <row r="52" spans="1:7" s="6" customFormat="1">
      <c r="A52" s="3"/>
      <c r="B52" s="21" t="s">
        <v>306</v>
      </c>
      <c r="C52" s="93">
        <f>C51-C98</f>
        <v>-939.50650999999925</v>
      </c>
      <c r="D52" s="93">
        <f>D51-D98</f>
        <v>15.290809999998601</v>
      </c>
      <c r="E52" s="22"/>
      <c r="F52" s="22"/>
    </row>
    <row r="53" spans="1:7">
      <c r="A53" s="23"/>
      <c r="B53" s="24"/>
      <c r="C53" s="186"/>
      <c r="D53" s="186"/>
      <c r="E53" s="26"/>
      <c r="F53" s="92"/>
    </row>
    <row r="54" spans="1:7" ht="60" customHeight="1">
      <c r="A54" s="28" t="s">
        <v>0</v>
      </c>
      <c r="B54" s="28" t="s">
        <v>26</v>
      </c>
      <c r="C54" s="179" t="s">
        <v>398</v>
      </c>
      <c r="D54" s="180" t="s">
        <v>416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27</v>
      </c>
      <c r="B56" s="31" t="s">
        <v>28</v>
      </c>
      <c r="C56" s="463">
        <f>C57+C58+C59+C60+C61+C63+C62</f>
        <v>1499.001</v>
      </c>
      <c r="D56" s="182">
        <f>D57+D58+D59+D60+D61+D63+D62</f>
        <v>1322.6615400000001</v>
      </c>
      <c r="E56" s="34">
        <f>SUM(D56/C56*100)</f>
        <v>88.236201310072516</v>
      </c>
      <c r="F56" s="34">
        <f>SUM(D56-C56)</f>
        <v>-176.33945999999992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1396.2</v>
      </c>
      <c r="D58" s="37">
        <v>1228.3615400000001</v>
      </c>
      <c r="E58" s="38">
        <f t="shared" ref="E58:E98" si="3">SUM(D58/C58*100)</f>
        <v>87.97890989829537</v>
      </c>
      <c r="F58" s="38">
        <f t="shared" ref="F58:F98" si="4">SUM(D58-C58)</f>
        <v>-167.83845999999994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4.25" customHeight="1">
      <c r="A61" s="35" t="s">
        <v>37</v>
      </c>
      <c r="B61" s="39" t="s">
        <v>38</v>
      </c>
      <c r="C61" s="37">
        <v>42</v>
      </c>
      <c r="D61" s="37">
        <v>42</v>
      </c>
      <c r="E61" s="38">
        <f t="shared" si="3"/>
        <v>100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41</v>
      </c>
      <c r="B63" s="39" t="s">
        <v>42</v>
      </c>
      <c r="C63" s="37">
        <v>55.801000000000002</v>
      </c>
      <c r="D63" s="37">
        <v>52.3</v>
      </c>
      <c r="E63" s="38">
        <f t="shared" si="3"/>
        <v>93.72591889034247</v>
      </c>
      <c r="F63" s="38">
        <f t="shared" si="4"/>
        <v>-3.5010000000000048</v>
      </c>
    </row>
    <row r="64" spans="1:7" s="6" customFormat="1">
      <c r="A64" s="41" t="s">
        <v>43</v>
      </c>
      <c r="B64" s="42" t="s">
        <v>44</v>
      </c>
      <c r="C64" s="463">
        <f>C65</f>
        <v>198.36600000000001</v>
      </c>
      <c r="D64" s="32">
        <f>D65</f>
        <v>141.1463</v>
      </c>
      <c r="E64" s="34">
        <f>SUM(D64/C64*100)</f>
        <v>71.154482118911503</v>
      </c>
      <c r="F64" s="34">
        <f t="shared" si="4"/>
        <v>-57.219700000000017</v>
      </c>
    </row>
    <row r="65" spans="1:7">
      <c r="A65" s="43" t="s">
        <v>45</v>
      </c>
      <c r="B65" s="44" t="s">
        <v>46</v>
      </c>
      <c r="C65" s="37">
        <v>198.36600000000001</v>
      </c>
      <c r="D65" s="37">
        <v>141.1463</v>
      </c>
      <c r="E65" s="258">
        <f>SUM(D65/C65*100)</f>
        <v>71.154482118911503</v>
      </c>
      <c r="F65" s="38">
        <f t="shared" si="4"/>
        <v>-57.219700000000017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7</v>
      </c>
      <c r="D66" s="32">
        <f>D69+D70+D71</f>
        <v>5.7846000000000002</v>
      </c>
      <c r="E66" s="34">
        <f t="shared" si="3"/>
        <v>82.637142857142862</v>
      </c>
      <c r="F66" s="34">
        <f t="shared" si="4"/>
        <v>-1.2153999999999998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2.8696000000000002</v>
      </c>
      <c r="E69" s="34">
        <f t="shared" si="3"/>
        <v>95.653333333333336</v>
      </c>
      <c r="F69" s="34">
        <f t="shared" si="4"/>
        <v>-0.13039999999999985</v>
      </c>
    </row>
    <row r="70" spans="1:7" ht="15.75" customHeight="1">
      <c r="A70" s="46" t="s">
        <v>214</v>
      </c>
      <c r="B70" s="47" t="s">
        <v>215</v>
      </c>
      <c r="C70" s="37">
        <v>2</v>
      </c>
      <c r="D70" s="37">
        <v>0.91500000000000004</v>
      </c>
      <c r="E70" s="34">
        <f t="shared" si="3"/>
        <v>45.75</v>
      </c>
      <c r="F70" s="34">
        <f t="shared" si="4"/>
        <v>-1.085</v>
      </c>
    </row>
    <row r="71" spans="1:7" ht="15.75" customHeight="1">
      <c r="A71" s="46" t="s">
        <v>336</v>
      </c>
      <c r="B71" s="47" t="s">
        <v>391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6976.7027099999996</v>
      </c>
      <c r="D72" s="48">
        <f>SUM(D73:D76)</f>
        <v>3217.11454</v>
      </c>
      <c r="E72" s="34">
        <f t="shared" si="3"/>
        <v>46.112249206043643</v>
      </c>
      <c r="F72" s="34">
        <f t="shared" si="4"/>
        <v>-3759.5881699999995</v>
      </c>
    </row>
    <row r="73" spans="1:7" ht="15" customHeight="1">
      <c r="A73" s="35" t="s">
        <v>57</v>
      </c>
      <c r="B73" s="39" t="s">
        <v>58</v>
      </c>
      <c r="C73" s="49">
        <v>4.1779999999999999</v>
      </c>
      <c r="D73" s="37">
        <v>0</v>
      </c>
      <c r="E73" s="38">
        <f t="shared" si="3"/>
        <v>0</v>
      </c>
      <c r="F73" s="38">
        <f t="shared" si="4"/>
        <v>-4.1779999999999999</v>
      </c>
    </row>
    <row r="74" spans="1:7" s="6" customFormat="1" ht="1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4914.6253299999998</v>
      </c>
      <c r="D75" s="37">
        <v>2947.61454</v>
      </c>
      <c r="E75" s="38">
        <f t="shared" si="3"/>
        <v>59.97638359138152</v>
      </c>
      <c r="F75" s="38">
        <f t="shared" si="4"/>
        <v>-1967.0107899999998</v>
      </c>
    </row>
    <row r="76" spans="1:7">
      <c r="A76" s="35" t="s">
        <v>63</v>
      </c>
      <c r="B76" s="39" t="s">
        <v>64</v>
      </c>
      <c r="C76" s="49">
        <v>2057.8993799999998</v>
      </c>
      <c r="D76" s="37">
        <v>269.5</v>
      </c>
      <c r="E76" s="38">
        <f t="shared" si="3"/>
        <v>13.095878380603818</v>
      </c>
      <c r="F76" s="38">
        <f t="shared" si="4"/>
        <v>-1788.3993799999998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5197.7537599999996</v>
      </c>
      <c r="D77" s="32">
        <f>SUM(D78:D80)</f>
        <v>2220.0241000000001</v>
      </c>
      <c r="E77" s="34">
        <f t="shared" si="3"/>
        <v>42.711221087164397</v>
      </c>
      <c r="F77" s="34">
        <f t="shared" si="4"/>
        <v>-2977.7296599999995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100</v>
      </c>
      <c r="D79" s="37">
        <v>89.608580000000003</v>
      </c>
      <c r="E79" s="34">
        <f t="shared" si="3"/>
        <v>89.608580000000003</v>
      </c>
      <c r="F79" s="34">
        <f t="shared" si="4"/>
        <v>-10.391419999999997</v>
      </c>
    </row>
    <row r="80" spans="1:7">
      <c r="A80" s="35" t="s">
        <v>71</v>
      </c>
      <c r="B80" s="39" t="s">
        <v>72</v>
      </c>
      <c r="C80" s="37">
        <v>5097.7537599999996</v>
      </c>
      <c r="D80" s="37">
        <v>2130.41552</v>
      </c>
      <c r="E80" s="38">
        <f t="shared" si="3"/>
        <v>41.791259843041146</v>
      </c>
      <c r="F80" s="38">
        <f t="shared" si="4"/>
        <v>-2967.3382399999996</v>
      </c>
    </row>
    <row r="81" spans="1:6" s="6" customFormat="1">
      <c r="A81" s="30" t="s">
        <v>83</v>
      </c>
      <c r="B81" s="31" t="s">
        <v>84</v>
      </c>
      <c r="C81" s="32">
        <f>C82</f>
        <v>2137.3000000000002</v>
      </c>
      <c r="D81" s="32">
        <f>D82</f>
        <v>1682.2886599999999</v>
      </c>
      <c r="E81" s="34">
        <f>SUM(D81/C81*100)</f>
        <v>78.710927806110504</v>
      </c>
      <c r="F81" s="34">
        <f t="shared" si="4"/>
        <v>-455.01134000000025</v>
      </c>
    </row>
    <row r="82" spans="1:6" ht="15.75" customHeight="1">
      <c r="A82" s="35" t="s">
        <v>85</v>
      </c>
      <c r="B82" s="39" t="s">
        <v>229</v>
      </c>
      <c r="C82" s="37">
        <v>2137.3000000000002</v>
      </c>
      <c r="D82" s="37">
        <v>1682.2886599999999</v>
      </c>
      <c r="E82" s="38">
        <f>SUM(D82/C82*100)</f>
        <v>78.710927806110504</v>
      </c>
      <c r="F82" s="38">
        <f t="shared" si="4"/>
        <v>-455.01134000000025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2</v>
      </c>
      <c r="D88" s="32">
        <f>D89+D90+D91+D92+D93</f>
        <v>0.96699999999999997</v>
      </c>
      <c r="E88" s="38">
        <f t="shared" si="3"/>
        <v>48.35</v>
      </c>
      <c r="F88" s="22">
        <f>F89+F90+F91+F92+F93</f>
        <v>-1.0329999999999999</v>
      </c>
    </row>
    <row r="89" spans="1:6" ht="18.75" customHeight="1">
      <c r="A89" s="35" t="s">
        <v>94</v>
      </c>
      <c r="B89" s="39" t="s">
        <v>95</v>
      </c>
      <c r="C89" s="37">
        <v>2</v>
      </c>
      <c r="D89" s="37">
        <v>0.96699999999999997</v>
      </c>
      <c r="E89" s="38">
        <f t="shared" si="3"/>
        <v>48.35</v>
      </c>
      <c r="F89" s="38">
        <f>SUM(D89-C89)</f>
        <v>-1.0329999999999999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457">
        <f>C56+C64+C66+C72+C77+C81+C83+C88+C94</f>
        <v>16018.123469999999</v>
      </c>
      <c r="D98" s="457">
        <f>D56+D64+D66+D72+D77+D81+D83+D88+D94</f>
        <v>8589.9867400000003</v>
      </c>
      <c r="E98" s="34">
        <f t="shared" si="3"/>
        <v>53.626673287217464</v>
      </c>
      <c r="F98" s="34">
        <f t="shared" si="4"/>
        <v>-7428.1367299999984</v>
      </c>
      <c r="G98" s="200"/>
    </row>
    <row r="99" spans="1:7" ht="0.75" customHeight="1">
      <c r="C99" s="126"/>
      <c r="D99" s="101"/>
    </row>
    <row r="100" spans="1:7" s="65" customFormat="1" ht="16.5" customHeight="1">
      <c r="A100" s="63" t="s">
        <v>117</v>
      </c>
      <c r="B100" s="63"/>
      <c r="C100" s="185"/>
      <c r="D100" s="185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20"/>
    </row>
    <row r="103" spans="1:7" ht="5.25" customHeight="1"/>
    <row r="143" hidden="1"/>
  </sheetData>
  <customSheetViews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1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3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5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6"/>
    </customSheetView>
    <customSheetView guid="{B30CE22D-C12F-4E12-8BB9-3AAE0A6991CC}" scale="70" showPageBreaks="1" hiddenRows="1" view="pageBreakPreview">
      <selection activeCell="D7" sqref="D7"/>
      <pageMargins left="0.70866141732283472" right="0.70866141732283472" top="0.74803149606299213" bottom="0.74803149606299213" header="0.31496062992125984" footer="0.31496062992125984"/>
      <pageSetup paperSize="9" scale="59" orientation="portrait" r:id="rId7"/>
    </customSheetView>
    <customSheetView guid="{1718F1EE-9F48-4DBE-9531-3B70F9C4A5DD}" scale="70" showPageBreaks="1" hiddenRows="1" view="pageBreakPreview" topLeftCell="A34">
      <selection activeCell="D89" sqref="D89"/>
      <pageMargins left="0.7" right="0.7" top="0.75" bottom="0.75" header="0.3" footer="0.3"/>
      <pageSetup paperSize="9" scale="40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8" zoomScale="70" zoomScaleSheetLayoutView="70" workbookViewId="0">
      <selection activeCell="B36" sqref="B36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6" t="s">
        <v>428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1639.9</v>
      </c>
      <c r="D4" s="5">
        <f>D5+D12+D14+D17+D20+D7</f>
        <v>1304.58853</v>
      </c>
      <c r="E4" s="5">
        <f>SUM(D4/C4*100)</f>
        <v>79.552931886090605</v>
      </c>
      <c r="F4" s="5">
        <f>SUM(D4-C4)</f>
        <v>-335.3114700000001</v>
      </c>
    </row>
    <row r="5" spans="1:6" s="6" customFormat="1">
      <c r="A5" s="68">
        <v>1010000000</v>
      </c>
      <c r="B5" s="67" t="s">
        <v>5</v>
      </c>
      <c r="C5" s="5">
        <f>C6</f>
        <v>117.6</v>
      </c>
      <c r="D5" s="5">
        <f>D6</f>
        <v>107.51326</v>
      </c>
      <c r="E5" s="5">
        <f t="shared" ref="E5:E51" si="0">SUM(D5/C5*100)</f>
        <v>91.422840136054432</v>
      </c>
      <c r="F5" s="5">
        <f t="shared" ref="F5:F51" si="1">SUM(D5-C5)</f>
        <v>-10.086739999999992</v>
      </c>
    </row>
    <row r="6" spans="1:6">
      <c r="A6" s="7">
        <v>1010200001</v>
      </c>
      <c r="B6" s="8" t="s">
        <v>224</v>
      </c>
      <c r="C6" s="9">
        <v>117.6</v>
      </c>
      <c r="D6" s="10">
        <v>107.51326</v>
      </c>
      <c r="E6" s="9">
        <f t="shared" ref="E6:E11" si="2">SUM(D6/C6*100)</f>
        <v>91.422840136054432</v>
      </c>
      <c r="F6" s="9">
        <f t="shared" si="1"/>
        <v>-10.086739999999992</v>
      </c>
    </row>
    <row r="7" spans="1:6" ht="31.5">
      <c r="A7" s="3">
        <v>1030000000</v>
      </c>
      <c r="B7" s="13" t="s">
        <v>266</v>
      </c>
      <c r="C7" s="5">
        <f>C8+C10+C9</f>
        <v>846.30000000000007</v>
      </c>
      <c r="D7" s="5">
        <f>D8+D10+D9+D11</f>
        <v>738.11005</v>
      </c>
      <c r="E7" s="5">
        <f t="shared" si="2"/>
        <v>87.216123124187632</v>
      </c>
      <c r="F7" s="5">
        <f t="shared" si="1"/>
        <v>-108.18995000000007</v>
      </c>
    </row>
    <row r="8" spans="1:6">
      <c r="A8" s="7">
        <v>1030223001</v>
      </c>
      <c r="B8" s="8" t="s">
        <v>268</v>
      </c>
      <c r="C8" s="9">
        <v>315.67</v>
      </c>
      <c r="D8" s="10">
        <v>340.03616</v>
      </c>
      <c r="E8" s="9">
        <f t="shared" si="2"/>
        <v>107.71887097285141</v>
      </c>
      <c r="F8" s="9">
        <f t="shared" si="1"/>
        <v>24.366159999999979</v>
      </c>
    </row>
    <row r="9" spans="1:6">
      <c r="A9" s="7">
        <v>1030224001</v>
      </c>
      <c r="B9" s="8" t="s">
        <v>274</v>
      </c>
      <c r="C9" s="9">
        <v>3.39</v>
      </c>
      <c r="D9" s="10">
        <v>2.4395199999999999</v>
      </c>
      <c r="E9" s="9">
        <f>SUM(D9/C9*100)</f>
        <v>71.962241887905591</v>
      </c>
      <c r="F9" s="9">
        <f t="shared" si="1"/>
        <v>-0.95048000000000021</v>
      </c>
    </row>
    <row r="10" spans="1:6">
      <c r="A10" s="7">
        <v>1030225001</v>
      </c>
      <c r="B10" s="8" t="s">
        <v>267</v>
      </c>
      <c r="C10" s="9">
        <v>527.24</v>
      </c>
      <c r="D10" s="10">
        <v>456.8818</v>
      </c>
      <c r="E10" s="9">
        <f t="shared" si="2"/>
        <v>86.655375161216895</v>
      </c>
      <c r="F10" s="9">
        <f t="shared" si="1"/>
        <v>-70.358200000000011</v>
      </c>
    </row>
    <row r="11" spans="1:6">
      <c r="A11" s="7">
        <v>1030226001</v>
      </c>
      <c r="B11" s="8" t="s">
        <v>276</v>
      </c>
      <c r="C11" s="9">
        <v>0</v>
      </c>
      <c r="D11" s="10">
        <v>-61.247430000000001</v>
      </c>
      <c r="E11" s="9" t="e">
        <f t="shared" si="2"/>
        <v>#DIV/0!</v>
      </c>
      <c r="F11" s="9">
        <f t="shared" si="1"/>
        <v>-61.247430000000001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33.21</v>
      </c>
      <c r="E12" s="5">
        <f t="shared" si="0"/>
        <v>110.7</v>
      </c>
      <c r="F12" s="5">
        <f t="shared" si="1"/>
        <v>3.2100000000000009</v>
      </c>
    </row>
    <row r="13" spans="1:6" ht="15.75" customHeight="1">
      <c r="A13" s="7">
        <v>1050300000</v>
      </c>
      <c r="B13" s="11" t="s">
        <v>225</v>
      </c>
      <c r="C13" s="12">
        <v>30</v>
      </c>
      <c r="D13" s="10">
        <v>33.21</v>
      </c>
      <c r="E13" s="9">
        <f t="shared" si="0"/>
        <v>110.7</v>
      </c>
      <c r="F13" s="9">
        <f t="shared" si="1"/>
        <v>3.2100000000000009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638</v>
      </c>
      <c r="D14" s="5">
        <f>D15+D16</f>
        <v>420.55522000000002</v>
      </c>
      <c r="E14" s="5">
        <f t="shared" si="0"/>
        <v>65.917746081504703</v>
      </c>
      <c r="F14" s="5">
        <f t="shared" si="1"/>
        <v>-217.44477999999998</v>
      </c>
    </row>
    <row r="15" spans="1:6" s="6" customFormat="1" ht="15.75" customHeight="1">
      <c r="A15" s="7">
        <v>1060100000</v>
      </c>
      <c r="B15" s="11" t="s">
        <v>8</v>
      </c>
      <c r="C15" s="9">
        <v>250</v>
      </c>
      <c r="D15" s="10">
        <v>70.564390000000003</v>
      </c>
      <c r="E15" s="9">
        <f t="shared" si="0"/>
        <v>28.225756000000001</v>
      </c>
      <c r="F15" s="9">
        <f>SUM(D15-C15)</f>
        <v>-179.43561</v>
      </c>
    </row>
    <row r="16" spans="1:6" ht="15.75" customHeight="1">
      <c r="A16" s="7">
        <v>1060600000</v>
      </c>
      <c r="B16" s="11" t="s">
        <v>7</v>
      </c>
      <c r="C16" s="9">
        <v>388</v>
      </c>
      <c r="D16" s="10">
        <v>349.99083000000002</v>
      </c>
      <c r="E16" s="9">
        <f t="shared" si="0"/>
        <v>90.203822164948448</v>
      </c>
      <c r="F16" s="9">
        <f t="shared" si="1"/>
        <v>-38.009169999999983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5.2</v>
      </c>
      <c r="E17" s="5">
        <f t="shared" si="0"/>
        <v>65</v>
      </c>
      <c r="F17" s="5">
        <f t="shared" si="1"/>
        <v>-2.8</v>
      </c>
    </row>
    <row r="18" spans="1:6" ht="17.25" customHeight="1">
      <c r="A18" s="7">
        <v>1080400001</v>
      </c>
      <c r="B18" s="8" t="s">
        <v>223</v>
      </c>
      <c r="C18" s="9">
        <v>8</v>
      </c>
      <c r="D18" s="10">
        <v>5.2</v>
      </c>
      <c r="E18" s="9">
        <f t="shared" si="0"/>
        <v>65</v>
      </c>
      <c r="F18" s="9">
        <f t="shared" si="1"/>
        <v>-2.8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332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719.1</v>
      </c>
      <c r="D25" s="5">
        <f>D26+D29+D32+D37+D35</f>
        <v>911.34363999999994</v>
      </c>
      <c r="E25" s="5">
        <f t="shared" si="0"/>
        <v>126.73392295925461</v>
      </c>
      <c r="F25" s="5">
        <f t="shared" si="1"/>
        <v>192.24363999999991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669.1</v>
      </c>
      <c r="D26" s="5">
        <f>D27+D28</f>
        <v>826.02080000000001</v>
      </c>
      <c r="E26" s="5">
        <f t="shared" si="0"/>
        <v>123.45251830817516</v>
      </c>
      <c r="F26" s="5">
        <f t="shared" si="1"/>
        <v>156.92079999999999</v>
      </c>
    </row>
    <row r="27" spans="1:6">
      <c r="A27" s="16">
        <v>1110502510</v>
      </c>
      <c r="B27" s="17" t="s">
        <v>221</v>
      </c>
      <c r="C27" s="12">
        <v>592.1</v>
      </c>
      <c r="D27" s="10">
        <v>767.15481999999997</v>
      </c>
      <c r="E27" s="9">
        <f t="shared" si="0"/>
        <v>129.56507684512749</v>
      </c>
      <c r="F27" s="9">
        <f t="shared" si="1"/>
        <v>175.05481999999995</v>
      </c>
    </row>
    <row r="28" spans="1:6" ht="18" customHeight="1">
      <c r="A28" s="7">
        <v>1110503505</v>
      </c>
      <c r="B28" s="11" t="s">
        <v>220</v>
      </c>
      <c r="C28" s="12">
        <v>77</v>
      </c>
      <c r="D28" s="10">
        <v>58.86598</v>
      </c>
      <c r="E28" s="9">
        <f t="shared" si="0"/>
        <v>76.449324675324675</v>
      </c>
      <c r="F28" s="9">
        <f t="shared" si="1"/>
        <v>-18.13402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50</v>
      </c>
      <c r="D29" s="5">
        <f>D30+D31</f>
        <v>38.752090000000003</v>
      </c>
      <c r="E29" s="5">
        <f t="shared" si="0"/>
        <v>77.504180000000005</v>
      </c>
      <c r="F29" s="5">
        <f t="shared" si="1"/>
        <v>-11.247909999999997</v>
      </c>
    </row>
    <row r="30" spans="1:6" ht="15.75" customHeight="1">
      <c r="A30" s="7">
        <v>1130206510</v>
      </c>
      <c r="B30" s="8" t="s">
        <v>321</v>
      </c>
      <c r="C30" s="9">
        <v>50</v>
      </c>
      <c r="D30" s="213">
        <v>38.752090000000003</v>
      </c>
      <c r="E30" s="9">
        <f t="shared" si="0"/>
        <v>77.504180000000005</v>
      </c>
      <c r="F30" s="9">
        <f t="shared" si="1"/>
        <v>-11.247909999999997</v>
      </c>
    </row>
    <row r="31" spans="1:6" ht="17.25" customHeight="1">
      <c r="A31" s="7">
        <v>1130299510</v>
      </c>
      <c r="B31" s="8" t="s">
        <v>333</v>
      </c>
      <c r="C31" s="9">
        <v>0</v>
      </c>
      <c r="D31" s="213">
        <v>0</v>
      </c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9.5" customHeight="1">
      <c r="A35" s="3">
        <v>1160000000</v>
      </c>
      <c r="B35" s="13" t="s">
        <v>240</v>
      </c>
      <c r="C35" s="14">
        <f>C36</f>
        <v>0</v>
      </c>
      <c r="D35" s="14">
        <f>D36</f>
        <v>46.570749999999997</v>
      </c>
      <c r="E35" s="5" t="e">
        <f>SUM(D35/C35*100)</f>
        <v>#DIV/0!</v>
      </c>
      <c r="F35" s="5">
        <f>SUM(D35-C35)</f>
        <v>46.570749999999997</v>
      </c>
    </row>
    <row r="36" spans="1:7" ht="28.5" customHeight="1">
      <c r="A36" s="7">
        <v>1160700000</v>
      </c>
      <c r="B36" s="8" t="s">
        <v>414</v>
      </c>
      <c r="C36" s="9"/>
      <c r="D36" s="10">
        <v>46.570749999999997</v>
      </c>
      <c r="E36" s="9" t="e">
        <f>SUM(D36/C36*100)</f>
        <v>#DIV/0!</v>
      </c>
      <c r="F36" s="9">
        <f>SUM(D36-C36)</f>
        <v>46.570749999999997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/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7">
        <f>SUM(C4,C25)</f>
        <v>2359</v>
      </c>
      <c r="D40" s="127">
        <f>D4+D25</f>
        <v>2215.93217</v>
      </c>
      <c r="E40" s="5">
        <f t="shared" si="0"/>
        <v>93.93523399745655</v>
      </c>
      <c r="F40" s="5">
        <f t="shared" si="1"/>
        <v>-143.06782999999996</v>
      </c>
    </row>
    <row r="41" spans="1:7" s="6" customFormat="1">
      <c r="A41" s="3">
        <v>2000000000</v>
      </c>
      <c r="B41" s="4" t="s">
        <v>17</v>
      </c>
      <c r="C41" s="5">
        <f>C42+C43+C44+C45+C46+C48</f>
        <v>6128.6176100000002</v>
      </c>
      <c r="D41" s="233">
        <f>D42+D43+D44+D45+D46+D48+D49</f>
        <v>4750.6239999999998</v>
      </c>
      <c r="E41" s="5">
        <f t="shared" si="0"/>
        <v>77.515425211852957</v>
      </c>
      <c r="F41" s="5">
        <f t="shared" si="1"/>
        <v>-1377.9936100000004</v>
      </c>
      <c r="G41" s="19"/>
    </row>
    <row r="42" spans="1:7">
      <c r="A42" s="16">
        <v>2021000000</v>
      </c>
      <c r="B42" s="17" t="s">
        <v>18</v>
      </c>
      <c r="C42" s="99">
        <v>1079.5</v>
      </c>
      <c r="D42" s="99">
        <v>989.52700000000004</v>
      </c>
      <c r="E42" s="9">
        <f t="shared" si="0"/>
        <v>91.665308012968978</v>
      </c>
      <c r="F42" s="9">
        <f t="shared" si="1"/>
        <v>-89.972999999999956</v>
      </c>
    </row>
    <row r="43" spans="1:7" ht="15.75" customHeight="1">
      <c r="A43" s="16">
        <v>2021500200</v>
      </c>
      <c r="B43" s="17" t="s">
        <v>227</v>
      </c>
      <c r="C43" s="99">
        <v>450</v>
      </c>
      <c r="D43" s="20">
        <v>450</v>
      </c>
      <c r="E43" s="9">
        <f>SUM(D43/C43*100)</f>
        <v>100</v>
      </c>
      <c r="F43" s="9">
        <f>SUM(D43-C43)</f>
        <v>0</v>
      </c>
    </row>
    <row r="44" spans="1:7">
      <c r="A44" s="16">
        <v>2022000000</v>
      </c>
      <c r="B44" s="17" t="s">
        <v>19</v>
      </c>
      <c r="C44" s="99">
        <v>3087.7260000000001</v>
      </c>
      <c r="D44" s="10">
        <v>2162.3879999999999</v>
      </c>
      <c r="E44" s="9">
        <f t="shared" si="0"/>
        <v>70.031732090217844</v>
      </c>
      <c r="F44" s="9">
        <f t="shared" si="1"/>
        <v>-925.33800000000019</v>
      </c>
    </row>
    <row r="45" spans="1:7" ht="16.5" customHeight="1">
      <c r="A45" s="16">
        <v>2023000000</v>
      </c>
      <c r="B45" s="17" t="s">
        <v>20</v>
      </c>
      <c r="C45" s="12">
        <v>198.36600000000001</v>
      </c>
      <c r="D45" s="187">
        <v>180.68299999999999</v>
      </c>
      <c r="E45" s="9">
        <f t="shared" si="0"/>
        <v>91.08566992327313</v>
      </c>
      <c r="F45" s="9">
        <f t="shared" si="1"/>
        <v>-17.683000000000021</v>
      </c>
    </row>
    <row r="46" spans="1:7" ht="19.5" customHeight="1">
      <c r="A46" s="16">
        <v>2020400000</v>
      </c>
      <c r="B46" s="17" t="s">
        <v>21</v>
      </c>
      <c r="C46" s="12">
        <v>1145</v>
      </c>
      <c r="D46" s="188">
        <v>800</v>
      </c>
      <c r="E46" s="9">
        <f t="shared" si="0"/>
        <v>69.868995633187765</v>
      </c>
      <c r="F46" s="9">
        <f t="shared" si="1"/>
        <v>-345</v>
      </c>
    </row>
    <row r="47" spans="1:7" ht="19.5" customHeight="1">
      <c r="A47" s="16">
        <v>2020900000</v>
      </c>
      <c r="B47" s="18" t="s">
        <v>22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331</v>
      </c>
      <c r="C48" s="12">
        <v>168.02561</v>
      </c>
      <c r="D48" s="188">
        <v>168.02600000000001</v>
      </c>
      <c r="E48" s="9">
        <f t="shared" si="0"/>
        <v>100.00023210747457</v>
      </c>
      <c r="F48" s="9">
        <f t="shared" si="1"/>
        <v>3.9000000001010449E-4</v>
      </c>
    </row>
    <row r="49" spans="1:8" ht="19.5" customHeight="1">
      <c r="A49" s="7">
        <v>2190500005</v>
      </c>
      <c r="B49" s="11" t="s">
        <v>23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8" s="6" customFormat="1" ht="15" customHeight="1">
      <c r="A50" s="3">
        <v>3000000000</v>
      </c>
      <c r="B50" s="13" t="s">
        <v>24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33">
        <f>C40+C41</f>
        <v>8487.6176100000012</v>
      </c>
      <c r="D51" s="233">
        <f>D40+D41</f>
        <v>6966.5561699999998</v>
      </c>
      <c r="E51" s="93">
        <f t="shared" si="0"/>
        <v>82.079053158475162</v>
      </c>
      <c r="F51" s="93">
        <f t="shared" si="1"/>
        <v>-1521.0614400000013</v>
      </c>
      <c r="G51" s="200"/>
      <c r="H51" s="200"/>
    </row>
    <row r="52" spans="1:8" s="6" customFormat="1">
      <c r="A52" s="3"/>
      <c r="B52" s="21" t="s">
        <v>306</v>
      </c>
      <c r="C52" s="93">
        <f>C51-C98</f>
        <v>-742.21243999999933</v>
      </c>
      <c r="D52" s="93">
        <f>D51-D98</f>
        <v>-33.454109999999673</v>
      </c>
      <c r="E52" s="195"/>
      <c r="F52" s="195"/>
    </row>
    <row r="53" spans="1:8">
      <c r="A53" s="23"/>
      <c r="B53" s="24"/>
      <c r="C53" s="186"/>
      <c r="D53" s="186"/>
      <c r="E53" s="26"/>
      <c r="F53" s="27"/>
    </row>
    <row r="54" spans="1:8" ht="45" customHeight="1">
      <c r="A54" s="28" t="s">
        <v>0</v>
      </c>
      <c r="B54" s="28" t="s">
        <v>26</v>
      </c>
      <c r="C54" s="179" t="s">
        <v>398</v>
      </c>
      <c r="D54" s="180" t="s">
        <v>416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1182.0170000000001</v>
      </c>
      <c r="D56" s="33">
        <f>D57+D58+D59+D60+D61+D63+D62</f>
        <v>969.54800999999998</v>
      </c>
      <c r="E56" s="34">
        <f>SUM(D56/C56*100)</f>
        <v>82.024878660797597</v>
      </c>
      <c r="F56" s="34">
        <f>SUM(D56-C56)</f>
        <v>-212.46899000000008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1145.7</v>
      </c>
      <c r="D58" s="37">
        <v>940.54800999999998</v>
      </c>
      <c r="E58" s="38">
        <f t="shared" ref="E58:E98" si="3">SUM(D58/C58*100)</f>
        <v>82.093742690058463</v>
      </c>
      <c r="F58" s="38">
        <f t="shared" ref="F58:F98" si="4">SUM(D58-C58)</f>
        <v>-205.15199000000007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>
        <v>28</v>
      </c>
      <c r="D61" s="37">
        <v>28</v>
      </c>
      <c r="E61" s="38">
        <f t="shared" si="3"/>
        <v>100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41</v>
      </c>
      <c r="B63" s="39" t="s">
        <v>42</v>
      </c>
      <c r="C63" s="37">
        <v>3.3170000000000002</v>
      </c>
      <c r="D63" s="37">
        <v>1</v>
      </c>
      <c r="E63" s="38">
        <f t="shared" si="3"/>
        <v>30.147723846849562</v>
      </c>
      <c r="F63" s="38">
        <f t="shared" si="4"/>
        <v>-2.3170000000000002</v>
      </c>
    </row>
    <row r="64" spans="1:8" s="6" customFormat="1">
      <c r="A64" s="41" t="s">
        <v>43</v>
      </c>
      <c r="B64" s="42" t="s">
        <v>44</v>
      </c>
      <c r="C64" s="32">
        <f>C65</f>
        <v>198.36600000000001</v>
      </c>
      <c r="D64" s="32">
        <f>D65</f>
        <v>157.0196</v>
      </c>
      <c r="E64" s="34">
        <f t="shared" si="3"/>
        <v>79.156508675881952</v>
      </c>
      <c r="F64" s="34">
        <f t="shared" si="4"/>
        <v>-41.346400000000017</v>
      </c>
    </row>
    <row r="65" spans="1:7">
      <c r="A65" s="43" t="s">
        <v>45</v>
      </c>
      <c r="B65" s="44" t="s">
        <v>46</v>
      </c>
      <c r="C65" s="37">
        <v>198.36600000000001</v>
      </c>
      <c r="D65" s="37">
        <v>157.0196</v>
      </c>
      <c r="E65" s="38">
        <f t="shared" si="3"/>
        <v>79.156508675881952</v>
      </c>
      <c r="F65" s="38">
        <f t="shared" si="4"/>
        <v>-41.346400000000017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5.4729999999999999</v>
      </c>
      <c r="D66" s="253">
        <f>D69+D70</f>
        <v>3.3426</v>
      </c>
      <c r="E66" s="34">
        <f t="shared" si="3"/>
        <v>61.074365064863876</v>
      </c>
      <c r="F66" s="34">
        <f t="shared" si="4"/>
        <v>-2.1303999999999998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2.8696000000000002</v>
      </c>
      <c r="E69" s="34">
        <f t="shared" si="3"/>
        <v>95.653333333333336</v>
      </c>
      <c r="F69" s="34">
        <f t="shared" si="4"/>
        <v>-0.13039999999999985</v>
      </c>
    </row>
    <row r="70" spans="1:7" ht="15.75" customHeight="1">
      <c r="A70" s="46" t="s">
        <v>214</v>
      </c>
      <c r="B70" s="47" t="s">
        <v>215</v>
      </c>
      <c r="C70" s="37">
        <v>0.47299999999999998</v>
      </c>
      <c r="D70" s="37">
        <v>0.47299999999999998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336</v>
      </c>
      <c r="B71" s="47" t="s">
        <v>391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4887.9149200000002</v>
      </c>
      <c r="D72" s="48">
        <f>SUM(D73:D77)</f>
        <v>3492.8007200000002</v>
      </c>
      <c r="E72" s="34">
        <f t="shared" si="3"/>
        <v>71.457886996118162</v>
      </c>
      <c r="F72" s="34">
        <f t="shared" si="4"/>
        <v>-1395.1142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4807.7149200000003</v>
      </c>
      <c r="D76" s="37">
        <v>3457.9187200000001</v>
      </c>
      <c r="E76" s="38">
        <f t="shared" si="3"/>
        <v>71.924371089789986</v>
      </c>
      <c r="F76" s="38">
        <f t="shared" si="4"/>
        <v>-1349.7962000000002</v>
      </c>
    </row>
    <row r="77" spans="1:7">
      <c r="A77" s="35" t="s">
        <v>63</v>
      </c>
      <c r="B77" s="39" t="s">
        <v>64</v>
      </c>
      <c r="C77" s="49">
        <v>80.2</v>
      </c>
      <c r="D77" s="37">
        <v>34.881999999999998</v>
      </c>
      <c r="E77" s="38">
        <f t="shared" si="3"/>
        <v>43.493765586034911</v>
      </c>
      <c r="F77" s="38">
        <f t="shared" si="4"/>
        <v>-45.318000000000005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1814.9591300000002</v>
      </c>
      <c r="D78" s="32">
        <f>SUM(D79:D81)</f>
        <v>1250.76035</v>
      </c>
      <c r="E78" s="34">
        <f t="shared" si="3"/>
        <v>68.913967776233065</v>
      </c>
      <c r="F78" s="34">
        <f t="shared" si="4"/>
        <v>-564.19878000000017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4.25" customHeight="1">
      <c r="A80" s="35" t="s">
        <v>69</v>
      </c>
      <c r="B80" s="51" t="s">
        <v>70</v>
      </c>
      <c r="C80" s="37">
        <v>430.42585000000003</v>
      </c>
      <c r="D80" s="37">
        <v>302.64323999999999</v>
      </c>
      <c r="E80" s="38">
        <f t="shared" si="3"/>
        <v>70.31251491981719</v>
      </c>
      <c r="F80" s="38">
        <f t="shared" si="4"/>
        <v>-127.78261000000003</v>
      </c>
    </row>
    <row r="81" spans="1:6">
      <c r="A81" s="35" t="s">
        <v>71</v>
      </c>
      <c r="B81" s="39" t="s">
        <v>72</v>
      </c>
      <c r="C81" s="37">
        <v>1384.5332800000001</v>
      </c>
      <c r="D81" s="37">
        <v>948.11711000000003</v>
      </c>
      <c r="E81" s="38">
        <f t="shared" si="3"/>
        <v>68.479185274621926</v>
      </c>
      <c r="F81" s="38">
        <f t="shared" si="4"/>
        <v>-436.41617000000008</v>
      </c>
    </row>
    <row r="82" spans="1:6" s="6" customFormat="1" ht="17.25" customHeight="1">
      <c r="A82" s="30" t="s">
        <v>83</v>
      </c>
      <c r="B82" s="31" t="s">
        <v>84</v>
      </c>
      <c r="C82" s="32">
        <f>C83</f>
        <v>1141.0999999999999</v>
      </c>
      <c r="D82" s="32">
        <f>D83</f>
        <v>1126.539</v>
      </c>
      <c r="E82" s="34">
        <f t="shared" si="3"/>
        <v>98.723950574007546</v>
      </c>
      <c r="F82" s="34">
        <f t="shared" si="4"/>
        <v>-14.560999999999922</v>
      </c>
    </row>
    <row r="83" spans="1:6" ht="21" customHeight="1">
      <c r="A83" s="35" t="s">
        <v>85</v>
      </c>
      <c r="B83" s="39" t="s">
        <v>229</v>
      </c>
      <c r="C83" s="37">
        <v>1141.0999999999999</v>
      </c>
      <c r="D83" s="37">
        <v>1126.539</v>
      </c>
      <c r="E83" s="38">
        <f t="shared" si="3"/>
        <v>98.723950574007546</v>
      </c>
      <c r="F83" s="38">
        <f t="shared" si="4"/>
        <v>-14.560999999999922</v>
      </c>
    </row>
    <row r="84" spans="1:6" s="6" customFormat="1" ht="12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0</v>
      </c>
      <c r="D96" s="32">
        <f>D97</f>
        <v>0</v>
      </c>
      <c r="E96" s="34" t="e">
        <f t="shared" si="3"/>
        <v>#DIV/0!</v>
      </c>
      <c r="F96" s="34">
        <f t="shared" si="4"/>
        <v>0</v>
      </c>
    </row>
    <row r="97" spans="1:8" ht="18" customHeight="1">
      <c r="A97" s="35" t="s">
        <v>94</v>
      </c>
      <c r="B97" s="39" t="s">
        <v>95</v>
      </c>
      <c r="C97" s="49"/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>
      <c r="A98" s="52"/>
      <c r="B98" s="57" t="s">
        <v>116</v>
      </c>
      <c r="C98" s="475">
        <f>C56+C64+C66+C72+C78+C82+C96+C84</f>
        <v>9229.8300500000005</v>
      </c>
      <c r="D98" s="475">
        <f>D56+D64+D66+D72+D78+D82+D96+D84</f>
        <v>7000.0102799999995</v>
      </c>
      <c r="E98" s="34">
        <f t="shared" si="3"/>
        <v>75.84116112733841</v>
      </c>
      <c r="F98" s="34">
        <f t="shared" si="4"/>
        <v>-2229.819770000001</v>
      </c>
      <c r="G98" s="200"/>
      <c r="H98" s="200"/>
    </row>
    <row r="99" spans="1:8" ht="16.5" customHeight="1">
      <c r="C99" s="126"/>
      <c r="D99" s="101"/>
    </row>
    <row r="100" spans="1:8" s="65" customFormat="1" ht="20.25" customHeight="1">
      <c r="A100" s="63" t="s">
        <v>117</v>
      </c>
      <c r="B100" s="63"/>
      <c r="C100" s="116"/>
      <c r="D100" s="64" t="s">
        <v>260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1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5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6"/>
    </customSheetView>
    <customSheetView guid="{B30CE22D-C12F-4E12-8BB9-3AAE0A6991CC}" scale="70" showPageBreaks="1" printArea="1" hiddenRows="1" view="pageBreakPreview" topLeftCell="A28">
      <selection activeCell="D71" sqref="D71"/>
      <pageMargins left="0.70866141732283472" right="0.70866141732283472" top="0.74803149606299213" bottom="0.74803149606299213" header="0.31496062992125984" footer="0.31496062992125984"/>
      <pageSetup paperSize="9" scale="57" orientation="portrait" r:id="rId7"/>
    </customSheetView>
    <customSheetView guid="{1718F1EE-9F48-4DBE-9531-3B70F9C4A5DD}" scale="70" showPageBreaks="1" printArea="1" hiddenRows="1" view="pageBreakPreview" topLeftCell="A31">
      <selection activeCell="D96" sqref="D96"/>
      <pageMargins left="0.7" right="0.7" top="0.75" bottom="0.75" header="0.3" footer="0.3"/>
      <pageSetup paperSize="9" scale="41" orientation="portrait" r:id="rId8"/>
    </customSheetView>
    <customSheetView guid="{61528DAC-5C4C-48F4-ADE2-8A724B05A086}" scale="70" showPageBreaks="1" printArea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4"/>
  <sheetViews>
    <sheetView view="pageBreakPreview" topLeftCell="A33" zoomScale="70" zoomScaleSheetLayoutView="70" workbookViewId="0">
      <selection activeCell="A35" sqref="A35:B35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6" t="s">
        <v>429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1040.5999999999999</v>
      </c>
      <c r="D4" s="5">
        <f>D5+D12+D14+D17+D7</f>
        <v>983.59315000000015</v>
      </c>
      <c r="E4" s="5">
        <f>SUM(D4/C4*100)</f>
        <v>94.521732654237965</v>
      </c>
      <c r="F4" s="5">
        <f>SUM(D4-C4)</f>
        <v>-57.006849999999758</v>
      </c>
    </row>
    <row r="5" spans="1:6" s="6" customFormat="1">
      <c r="A5" s="68">
        <v>1010000000</v>
      </c>
      <c r="B5" s="67" t="s">
        <v>5</v>
      </c>
      <c r="C5" s="5">
        <f>C6</f>
        <v>74.3</v>
      </c>
      <c r="D5" s="5">
        <f>D6</f>
        <v>56.657800000000002</v>
      </c>
      <c r="E5" s="5">
        <f t="shared" ref="E5:E51" si="0">SUM(D5/C5*100)</f>
        <v>76.255450874831766</v>
      </c>
      <c r="F5" s="5">
        <f t="shared" ref="F5:F51" si="1">SUM(D5-C5)</f>
        <v>-17.642199999999995</v>
      </c>
    </row>
    <row r="6" spans="1:6">
      <c r="A6" s="7">
        <v>1010200001</v>
      </c>
      <c r="B6" s="8" t="s">
        <v>224</v>
      </c>
      <c r="C6" s="9">
        <v>74.3</v>
      </c>
      <c r="D6" s="10">
        <v>56.657800000000002</v>
      </c>
      <c r="E6" s="9">
        <f t="shared" ref="E6:E11" si="2">SUM(D6/C6*100)</f>
        <v>76.255450874831766</v>
      </c>
      <c r="F6" s="9">
        <f t="shared" si="1"/>
        <v>-17.642199999999995</v>
      </c>
    </row>
    <row r="7" spans="1:6" ht="31.5">
      <c r="A7" s="3">
        <v>1030000000</v>
      </c>
      <c r="B7" s="13" t="s">
        <v>266</v>
      </c>
      <c r="C7" s="5">
        <f>C8+C10+C9</f>
        <v>386.3</v>
      </c>
      <c r="D7" s="233">
        <f>D8+D10+D9+D11</f>
        <v>336.91501999999997</v>
      </c>
      <c r="E7" s="5">
        <f t="shared" si="2"/>
        <v>87.215899559927507</v>
      </c>
      <c r="F7" s="5">
        <f t="shared" si="1"/>
        <v>-49.384980000000041</v>
      </c>
    </row>
    <row r="8" spans="1:6">
      <c r="A8" s="7">
        <v>1030223001</v>
      </c>
      <c r="B8" s="8" t="s">
        <v>268</v>
      </c>
      <c r="C8" s="9">
        <v>144.09</v>
      </c>
      <c r="D8" s="10">
        <v>155.21163999999999</v>
      </c>
      <c r="E8" s="9">
        <f t="shared" si="2"/>
        <v>107.71853702547018</v>
      </c>
      <c r="F8" s="9">
        <f t="shared" si="1"/>
        <v>11.121639999999985</v>
      </c>
    </row>
    <row r="9" spans="1:6">
      <c r="A9" s="7">
        <v>1030224001</v>
      </c>
      <c r="B9" s="8" t="s">
        <v>274</v>
      </c>
      <c r="C9" s="9">
        <v>1.55</v>
      </c>
      <c r="D9" s="10">
        <v>1.1135600000000001</v>
      </c>
      <c r="E9" s="9">
        <f t="shared" si="2"/>
        <v>71.842580645161291</v>
      </c>
      <c r="F9" s="9">
        <f t="shared" si="1"/>
        <v>-0.43643999999999994</v>
      </c>
    </row>
    <row r="10" spans="1:6">
      <c r="A10" s="7">
        <v>1030225001</v>
      </c>
      <c r="B10" s="8" t="s">
        <v>267</v>
      </c>
      <c r="C10" s="9">
        <v>240.66</v>
      </c>
      <c r="D10" s="10">
        <v>208.54661999999999</v>
      </c>
      <c r="E10" s="9">
        <f t="shared" si="2"/>
        <v>86.656120668162544</v>
      </c>
      <c r="F10" s="9">
        <f t="shared" si="1"/>
        <v>-32.113380000000006</v>
      </c>
    </row>
    <row r="11" spans="1:6">
      <c r="A11" s="7">
        <v>1030226001</v>
      </c>
      <c r="B11" s="8" t="s">
        <v>276</v>
      </c>
      <c r="C11" s="9">
        <v>0</v>
      </c>
      <c r="D11" s="10">
        <v>-27.956800000000001</v>
      </c>
      <c r="E11" s="9" t="e">
        <f t="shared" si="2"/>
        <v>#DIV/0!</v>
      </c>
      <c r="F11" s="9">
        <f t="shared" si="1"/>
        <v>-27.956800000000001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7.4422300000000003</v>
      </c>
      <c r="E12" s="5">
        <f t="shared" si="0"/>
        <v>148.84460000000001</v>
      </c>
      <c r="F12" s="5">
        <f t="shared" si="1"/>
        <v>2.4422300000000003</v>
      </c>
    </row>
    <row r="13" spans="1:6" ht="15.75" customHeight="1">
      <c r="A13" s="7">
        <v>1050300000</v>
      </c>
      <c r="B13" s="11" t="s">
        <v>225</v>
      </c>
      <c r="C13" s="12">
        <v>5</v>
      </c>
      <c r="D13" s="10">
        <v>7.4422300000000003</v>
      </c>
      <c r="E13" s="9">
        <f t="shared" si="0"/>
        <v>148.84460000000001</v>
      </c>
      <c r="F13" s="9">
        <f t="shared" si="1"/>
        <v>2.4422300000000003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570</v>
      </c>
      <c r="D14" s="5">
        <f>D15+D16</f>
        <v>578.47810000000004</v>
      </c>
      <c r="E14" s="5">
        <f t="shared" si="0"/>
        <v>101.48738596491229</v>
      </c>
      <c r="F14" s="5">
        <f t="shared" si="1"/>
        <v>8.4781000000000404</v>
      </c>
    </row>
    <row r="15" spans="1:6" s="6" customFormat="1" ht="15.75" customHeight="1">
      <c r="A15" s="7">
        <v>1060100000</v>
      </c>
      <c r="B15" s="11" t="s">
        <v>8</v>
      </c>
      <c r="C15" s="9">
        <v>190</v>
      </c>
      <c r="D15" s="10">
        <v>250.36127999999999</v>
      </c>
      <c r="E15" s="9">
        <f t="shared" si="0"/>
        <v>131.76909473684211</v>
      </c>
      <c r="F15" s="9">
        <f>SUM(D15-C15)</f>
        <v>60.361279999999994</v>
      </c>
    </row>
    <row r="16" spans="1:6" ht="15.75" customHeight="1">
      <c r="A16" s="7">
        <v>1060600000</v>
      </c>
      <c r="B16" s="11" t="s">
        <v>7</v>
      </c>
      <c r="C16" s="9">
        <v>380</v>
      </c>
      <c r="D16" s="10">
        <v>328.11682000000002</v>
      </c>
      <c r="E16" s="9">
        <f t="shared" si="0"/>
        <v>86.346531578947378</v>
      </c>
      <c r="F16" s="9">
        <f t="shared" si="1"/>
        <v>-51.883179999999982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4.0999999999999996</v>
      </c>
      <c r="E17" s="5">
        <f t="shared" si="0"/>
        <v>82</v>
      </c>
      <c r="F17" s="5">
        <f t="shared" si="1"/>
        <v>-0.90000000000000036</v>
      </c>
    </row>
    <row r="18" spans="1:6" ht="18" customHeight="1">
      <c r="A18" s="7">
        <v>1080400001</v>
      </c>
      <c r="B18" s="8" t="s">
        <v>223</v>
      </c>
      <c r="C18" s="9">
        <v>5</v>
      </c>
      <c r="D18" s="10">
        <v>4.0999999999999996</v>
      </c>
      <c r="E18" s="9">
        <f t="shared" si="0"/>
        <v>82</v>
      </c>
      <c r="F18" s="9">
        <f t="shared" si="1"/>
        <v>-0.90000000000000036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77</v>
      </c>
      <c r="D25" s="5">
        <f>D26+D29+D36+D34</f>
        <v>86.150400000000005</v>
      </c>
      <c r="E25" s="5">
        <f t="shared" si="0"/>
        <v>111.88363636363636</v>
      </c>
      <c r="F25" s="5">
        <f t="shared" si="1"/>
        <v>9.1504000000000048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77</v>
      </c>
      <c r="D26" s="5">
        <f>D27</f>
        <v>81.582239999999999</v>
      </c>
      <c r="E26" s="5">
        <f t="shared" si="0"/>
        <v>105.95096103896104</v>
      </c>
      <c r="F26" s="5">
        <f t="shared" si="1"/>
        <v>4.5822399999999988</v>
      </c>
    </row>
    <row r="27" spans="1:6" ht="18" customHeight="1">
      <c r="A27" s="16">
        <v>1110502510</v>
      </c>
      <c r="B27" s="17" t="s">
        <v>221</v>
      </c>
      <c r="C27" s="12">
        <v>77</v>
      </c>
      <c r="D27" s="10">
        <v>81.582239999999999</v>
      </c>
      <c r="E27" s="9">
        <f t="shared" si="0"/>
        <v>105.95096103896104</v>
      </c>
      <c r="F27" s="9">
        <f t="shared" si="1"/>
        <v>4.5822399999999988</v>
      </c>
    </row>
    <row r="28" spans="1:6" ht="23.25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0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7.75" customHeight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3.25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3.25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23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3">
        <v>1160000000</v>
      </c>
      <c r="B34" s="13" t="s">
        <v>410</v>
      </c>
      <c r="C34" s="9"/>
      <c r="D34" s="14">
        <f>SUM(D35)</f>
        <v>4.5681599999999998</v>
      </c>
      <c r="E34" s="9"/>
      <c r="F34" s="9"/>
    </row>
    <row r="35" spans="1:7" ht="39.75" customHeight="1">
      <c r="A35" s="7">
        <v>1160700001</v>
      </c>
      <c r="B35" s="8" t="s">
        <v>411</v>
      </c>
      <c r="C35" s="9"/>
      <c r="D35" s="10">
        <v>4.5681599999999998</v>
      </c>
      <c r="E35" s="9"/>
      <c r="F35" s="9"/>
    </row>
    <row r="36" spans="1:7" ht="18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8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8.75" customHeight="1">
      <c r="A39" s="3">
        <v>1000000000</v>
      </c>
      <c r="B39" s="4" t="s">
        <v>16</v>
      </c>
      <c r="C39" s="127">
        <f>SUM(C4,C25)</f>
        <v>1117.5999999999999</v>
      </c>
      <c r="D39" s="127">
        <f>D4+D25</f>
        <v>1069.7435500000001</v>
      </c>
      <c r="E39" s="5">
        <f t="shared" si="0"/>
        <v>95.717926807444542</v>
      </c>
      <c r="F39" s="5">
        <f t="shared" si="1"/>
        <v>-47.856449999999768</v>
      </c>
    </row>
    <row r="40" spans="1:7" s="6" customFormat="1">
      <c r="A40" s="3">
        <v>2000000000</v>
      </c>
      <c r="B40" s="4" t="s">
        <v>17</v>
      </c>
      <c r="C40" s="5">
        <f>C41+C43+C44+C45+C46+C47</f>
        <v>4428.84998</v>
      </c>
      <c r="D40" s="5">
        <f>D41+D43+D44+D45+D47+D46</f>
        <v>4146.7043900000008</v>
      </c>
      <c r="E40" s="5">
        <f t="shared" si="0"/>
        <v>93.62937125271516</v>
      </c>
      <c r="F40" s="5">
        <f t="shared" si="1"/>
        <v>-282.14558999999917</v>
      </c>
      <c r="G40" s="19"/>
    </row>
    <row r="41" spans="1:7" ht="14.25" customHeight="1">
      <c r="A41" s="16">
        <v>2021000000</v>
      </c>
      <c r="B41" s="17" t="s">
        <v>18</v>
      </c>
      <c r="C41" s="99">
        <v>1358.5</v>
      </c>
      <c r="D41" s="99">
        <v>1245.2660000000001</v>
      </c>
      <c r="E41" s="9">
        <f t="shared" si="0"/>
        <v>91.664777327935226</v>
      </c>
      <c r="F41" s="9">
        <f t="shared" si="1"/>
        <v>-113.23399999999992</v>
      </c>
    </row>
    <row r="42" spans="1:7" ht="15.75" hidden="1" customHeight="1">
      <c r="A42" s="16">
        <v>2020100310</v>
      </c>
      <c r="B42" s="17" t="s">
        <v>227</v>
      </c>
      <c r="C42" s="99"/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2021500200</v>
      </c>
      <c r="B43" s="17" t="s">
        <v>227</v>
      </c>
      <c r="C43" s="99">
        <v>546</v>
      </c>
      <c r="D43" s="20">
        <v>466</v>
      </c>
      <c r="E43" s="9">
        <f t="shared" si="0"/>
        <v>85.347985347985343</v>
      </c>
      <c r="F43" s="9">
        <f t="shared" si="1"/>
        <v>-80</v>
      </c>
    </row>
    <row r="44" spans="1:7">
      <c r="A44" s="16">
        <v>2022000000</v>
      </c>
      <c r="B44" s="17" t="s">
        <v>19</v>
      </c>
      <c r="C44" s="99">
        <v>1905.40939</v>
      </c>
      <c r="D44" s="10">
        <v>1825.0963899999999</v>
      </c>
      <c r="E44" s="9">
        <f t="shared" si="0"/>
        <v>95.785000303792984</v>
      </c>
      <c r="F44" s="9">
        <f t="shared" si="1"/>
        <v>-80.313000000000102</v>
      </c>
    </row>
    <row r="45" spans="1:7" ht="17.25" customHeight="1">
      <c r="A45" s="16">
        <v>2023000000</v>
      </c>
      <c r="B45" s="17" t="s">
        <v>20</v>
      </c>
      <c r="C45" s="12">
        <v>99.183999999999997</v>
      </c>
      <c r="D45" s="187">
        <v>90.341999999999999</v>
      </c>
      <c r="E45" s="9">
        <f t="shared" si="0"/>
        <v>91.085255686401041</v>
      </c>
      <c r="F45" s="9">
        <f t="shared" si="1"/>
        <v>-8.8419999999999987</v>
      </c>
    </row>
    <row r="46" spans="1:7" ht="13.5" customHeight="1">
      <c r="A46" s="16">
        <v>2020400000</v>
      </c>
      <c r="B46" s="17" t="s">
        <v>21</v>
      </c>
      <c r="C46" s="12">
        <v>400</v>
      </c>
      <c r="D46" s="188">
        <v>400</v>
      </c>
      <c r="E46" s="9">
        <f t="shared" si="0"/>
        <v>100</v>
      </c>
      <c r="F46" s="9">
        <f t="shared" si="1"/>
        <v>0</v>
      </c>
    </row>
    <row r="47" spans="1:7" ht="14.25" customHeight="1">
      <c r="A47" s="16">
        <v>2070500010</v>
      </c>
      <c r="B47" s="8" t="s">
        <v>331</v>
      </c>
      <c r="C47" s="12">
        <v>119.75659</v>
      </c>
      <c r="D47" s="188">
        <v>120</v>
      </c>
      <c r="E47" s="9">
        <f t="shared" si="0"/>
        <v>100.20325395036716</v>
      </c>
      <c r="F47" s="9">
        <f t="shared" si="1"/>
        <v>0.24340999999999724</v>
      </c>
    </row>
    <row r="48" spans="1:7" ht="14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16.5" hidden="1" customHeight="1">
      <c r="A49" s="3">
        <v>3000000000</v>
      </c>
      <c r="B49" s="13" t="s">
        <v>24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21" hidden="1" customHeight="1">
      <c r="A50" s="3">
        <v>2190500010</v>
      </c>
      <c r="B50" s="13" t="s">
        <v>311</v>
      </c>
      <c r="C50" s="191">
        <v>0</v>
      </c>
      <c r="D50" s="14">
        <v>0</v>
      </c>
      <c r="E50" s="5"/>
      <c r="F50" s="5"/>
    </row>
    <row r="51" spans="1:8" s="6" customFormat="1" ht="16.5" customHeight="1">
      <c r="A51" s="3"/>
      <c r="B51" s="4" t="s">
        <v>25</v>
      </c>
      <c r="C51" s="467">
        <f>C39+C40</f>
        <v>5546.4499799999994</v>
      </c>
      <c r="D51" s="467">
        <f>D39+D40</f>
        <v>5216.4479400000009</v>
      </c>
      <c r="E51" s="5">
        <f t="shared" si="0"/>
        <v>94.050211555319962</v>
      </c>
      <c r="F51" s="5">
        <f t="shared" si="1"/>
        <v>-330.00203999999849</v>
      </c>
      <c r="G51" s="200"/>
      <c r="H51" s="248"/>
    </row>
    <row r="52" spans="1:8" s="6" customFormat="1" ht="15.75" customHeight="1">
      <c r="A52" s="3"/>
      <c r="B52" s="21" t="s">
        <v>306</v>
      </c>
      <c r="C52" s="194">
        <f>C51-C98</f>
        <v>-517.66025000000081</v>
      </c>
      <c r="D52" s="194">
        <f>D51-D98</f>
        <v>-7.0946999999987383</v>
      </c>
      <c r="E52" s="22"/>
      <c r="F52" s="22"/>
    </row>
    <row r="53" spans="1:8">
      <c r="A53" s="23"/>
      <c r="B53" s="24"/>
      <c r="C53" s="115"/>
      <c r="D53" s="25"/>
      <c r="E53" s="26"/>
      <c r="F53" s="27"/>
    </row>
    <row r="54" spans="1:8" ht="32.25" customHeight="1">
      <c r="A54" s="28" t="s">
        <v>0</v>
      </c>
      <c r="B54" s="28" t="s">
        <v>26</v>
      </c>
      <c r="C54" s="184" t="s">
        <v>398</v>
      </c>
      <c r="D54" s="73" t="s">
        <v>416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6.5" customHeight="1">
      <c r="A56" s="30" t="s">
        <v>27</v>
      </c>
      <c r="B56" s="31" t="s">
        <v>28</v>
      </c>
      <c r="C56" s="32">
        <f>C57+C58+C59+C60+C61+C63+C62</f>
        <v>1050.9929999999999</v>
      </c>
      <c r="D56" s="33">
        <f>SUM(D58:D63)</f>
        <v>968.52085</v>
      </c>
      <c r="E56" s="34">
        <f>SUM(D56/C56*100)</f>
        <v>92.152930609433184</v>
      </c>
      <c r="F56" s="34">
        <f>SUM(D56-C56)</f>
        <v>-82.472149999999942</v>
      </c>
    </row>
    <row r="57" spans="1:8" s="6" customFormat="1" ht="17.2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20.25" customHeight="1">
      <c r="A58" s="35" t="s">
        <v>31</v>
      </c>
      <c r="B58" s="39" t="s">
        <v>32</v>
      </c>
      <c r="C58" s="37">
        <v>1019.8</v>
      </c>
      <c r="D58" s="37">
        <v>944.02085</v>
      </c>
      <c r="E58" s="38">
        <f>SUM(D58/C58*100)</f>
        <v>92.569214551872932</v>
      </c>
      <c r="F58" s="38">
        <f t="shared" ref="F58:F98" si="3">SUM(D58-C58)</f>
        <v>-75.779149999999959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3"/>
        <v>0</v>
      </c>
    </row>
    <row r="60" spans="1:8" ht="17.25" hidden="1" customHeight="1">
      <c r="A60" s="35" t="s">
        <v>35</v>
      </c>
      <c r="B60" s="39" t="s">
        <v>36</v>
      </c>
      <c r="C60" s="37"/>
      <c r="D60" s="37"/>
      <c r="E60" s="38" t="e">
        <f t="shared" ref="E60:E98" si="4">SUM(D60/C60*100)</f>
        <v>#DIV/0!</v>
      </c>
      <c r="F60" s="38">
        <f t="shared" si="3"/>
        <v>0</v>
      </c>
    </row>
    <row r="61" spans="1:8" ht="17.25" customHeight="1">
      <c r="A61" s="35" t="s">
        <v>37</v>
      </c>
      <c r="B61" s="39" t="s">
        <v>38</v>
      </c>
      <c r="C61" s="37">
        <v>19</v>
      </c>
      <c r="D61" s="37">
        <v>19</v>
      </c>
      <c r="E61" s="38">
        <f t="shared" si="4"/>
        <v>100</v>
      </c>
      <c r="F61" s="38">
        <f t="shared" si="3"/>
        <v>0</v>
      </c>
    </row>
    <row r="62" spans="1:8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4"/>
        <v>0</v>
      </c>
      <c r="F62" s="38">
        <f t="shared" si="3"/>
        <v>-5</v>
      </c>
    </row>
    <row r="63" spans="1:8" ht="17.25" customHeight="1">
      <c r="A63" s="35" t="s">
        <v>41</v>
      </c>
      <c r="B63" s="39" t="s">
        <v>42</v>
      </c>
      <c r="C63" s="37">
        <v>7.1929999999999996</v>
      </c>
      <c r="D63" s="37">
        <v>5.5</v>
      </c>
      <c r="E63" s="38">
        <f t="shared" si="4"/>
        <v>76.463228138467954</v>
      </c>
      <c r="F63" s="38">
        <f t="shared" si="3"/>
        <v>-1.6929999999999996</v>
      </c>
    </row>
    <row r="64" spans="1:8" s="6" customFormat="1" ht="17.850000000000001" customHeight="1">
      <c r="A64" s="41" t="s">
        <v>43</v>
      </c>
      <c r="B64" s="42" t="s">
        <v>44</v>
      </c>
      <c r="C64" s="32">
        <f>C65</f>
        <v>99.183999999999997</v>
      </c>
      <c r="D64" s="32">
        <f>D65</f>
        <v>71.750190000000003</v>
      </c>
      <c r="E64" s="34">
        <f t="shared" si="4"/>
        <v>72.340488385223438</v>
      </c>
      <c r="F64" s="34">
        <f t="shared" si="3"/>
        <v>-27.433809999999994</v>
      </c>
    </row>
    <row r="65" spans="1:7" ht="17.850000000000001" customHeight="1">
      <c r="A65" s="43" t="s">
        <v>45</v>
      </c>
      <c r="B65" s="44" t="s">
        <v>46</v>
      </c>
      <c r="C65" s="37">
        <v>99.183999999999997</v>
      </c>
      <c r="D65" s="37">
        <v>71.750190000000003</v>
      </c>
      <c r="E65" s="38">
        <f t="shared" si="4"/>
        <v>72.340488385223438</v>
      </c>
      <c r="F65" s="38">
        <f t="shared" si="3"/>
        <v>-27.433809999999994</v>
      </c>
    </row>
    <row r="66" spans="1:7" s="6" customFormat="1" ht="17.25" customHeight="1">
      <c r="A66" s="30" t="s">
        <v>47</v>
      </c>
      <c r="B66" s="31" t="s">
        <v>48</v>
      </c>
      <c r="C66" s="32">
        <f>C69+C70+C71</f>
        <v>7</v>
      </c>
      <c r="D66" s="32">
        <f>SUM(D69+D70+D71)</f>
        <v>2.8219099999999999</v>
      </c>
      <c r="E66" s="34">
        <f t="shared" si="4"/>
        <v>40.313000000000002</v>
      </c>
      <c r="F66" s="34">
        <f t="shared" si="3"/>
        <v>-4.1780900000000001</v>
      </c>
    </row>
    <row r="67" spans="1:7" ht="17.25" hidden="1" customHeight="1">
      <c r="A67" s="35" t="s">
        <v>49</v>
      </c>
      <c r="B67" s="39" t="s">
        <v>50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7.25" hidden="1" customHeight="1">
      <c r="A68" s="45" t="s">
        <v>51</v>
      </c>
      <c r="B68" s="39" t="s">
        <v>52</v>
      </c>
      <c r="C68" s="37"/>
      <c r="D68" s="37"/>
      <c r="E68" s="34" t="e">
        <f t="shared" si="4"/>
        <v>#DIV/0!</v>
      </c>
      <c r="F68" s="34">
        <f t="shared" si="3"/>
        <v>0</v>
      </c>
    </row>
    <row r="69" spans="1:7" ht="18" customHeight="1">
      <c r="A69" s="46" t="s">
        <v>53</v>
      </c>
      <c r="B69" s="47" t="s">
        <v>54</v>
      </c>
      <c r="C69" s="37">
        <v>3</v>
      </c>
      <c r="D69" s="37">
        <v>2.8219099999999999</v>
      </c>
      <c r="E69" s="34">
        <f t="shared" si="4"/>
        <v>94.063666666666663</v>
      </c>
      <c r="F69" s="34">
        <f t="shared" si="3"/>
        <v>-0.17809000000000008</v>
      </c>
    </row>
    <row r="70" spans="1:7" ht="18" customHeight="1">
      <c r="A70" s="46" t="s">
        <v>214</v>
      </c>
      <c r="B70" s="47" t="s">
        <v>215</v>
      </c>
      <c r="C70" s="37">
        <v>2</v>
      </c>
      <c r="D70" s="37">
        <v>0</v>
      </c>
      <c r="E70" s="38">
        <f t="shared" si="4"/>
        <v>0</v>
      </c>
      <c r="F70" s="38">
        <f t="shared" si="3"/>
        <v>-2</v>
      </c>
    </row>
    <row r="71" spans="1:7" ht="18" customHeight="1">
      <c r="A71" s="46" t="s">
        <v>336</v>
      </c>
      <c r="B71" s="47" t="s">
        <v>339</v>
      </c>
      <c r="C71" s="37">
        <v>2</v>
      </c>
      <c r="D71" s="37">
        <v>0</v>
      </c>
      <c r="E71" s="38"/>
      <c r="F71" s="38"/>
    </row>
    <row r="72" spans="1:7" s="6" customFormat="1" ht="15.75" customHeight="1">
      <c r="A72" s="30" t="s">
        <v>55</v>
      </c>
      <c r="B72" s="31" t="s">
        <v>56</v>
      </c>
      <c r="C72" s="48">
        <f>SUM(C73:C76)</f>
        <v>1968.6524300000001</v>
      </c>
      <c r="D72" s="464">
        <f>D73+D74+D75+D76</f>
        <v>1688.00145</v>
      </c>
      <c r="E72" s="34">
        <f t="shared" si="4"/>
        <v>85.744005608953529</v>
      </c>
      <c r="F72" s="34">
        <f t="shared" si="3"/>
        <v>-280.65098000000012</v>
      </c>
    </row>
    <row r="73" spans="1:7" ht="16.5" customHeight="1">
      <c r="A73" s="35" t="s">
        <v>57</v>
      </c>
      <c r="B73" s="39" t="s">
        <v>58</v>
      </c>
      <c r="C73" s="49">
        <v>4.1779999999999999</v>
      </c>
      <c r="D73" s="37">
        <v>0</v>
      </c>
      <c r="E73" s="38">
        <f t="shared" si="4"/>
        <v>0</v>
      </c>
      <c r="F73" s="38">
        <f t="shared" si="3"/>
        <v>-4.1779999999999999</v>
      </c>
    </row>
    <row r="74" spans="1:7" s="6" customFormat="1" ht="18" customHeight="1">
      <c r="A74" s="35" t="s">
        <v>59</v>
      </c>
      <c r="B74" s="39" t="s">
        <v>60</v>
      </c>
      <c r="C74" s="49">
        <v>23.2</v>
      </c>
      <c r="D74" s="37">
        <v>23.2</v>
      </c>
      <c r="E74" s="38">
        <f t="shared" si="4"/>
        <v>100</v>
      </c>
      <c r="F74" s="38">
        <f t="shared" si="3"/>
        <v>0</v>
      </c>
      <c r="G74" s="50"/>
    </row>
    <row r="75" spans="1:7" ht="17.25" customHeight="1">
      <c r="A75" s="35" t="s">
        <v>61</v>
      </c>
      <c r="B75" s="39" t="s">
        <v>62</v>
      </c>
      <c r="C75" s="49">
        <v>1878.4694300000001</v>
      </c>
      <c r="D75" s="37">
        <v>1656.49721</v>
      </c>
      <c r="E75" s="38">
        <f t="shared" si="4"/>
        <v>88.183346694122136</v>
      </c>
      <c r="F75" s="38">
        <f t="shared" si="3"/>
        <v>-221.97222000000011</v>
      </c>
    </row>
    <row r="76" spans="1:7" ht="15.75" customHeight="1">
      <c r="A76" s="35" t="s">
        <v>63</v>
      </c>
      <c r="B76" s="39" t="s">
        <v>64</v>
      </c>
      <c r="C76" s="49">
        <v>62.805</v>
      </c>
      <c r="D76" s="37">
        <v>8.3042400000000001</v>
      </c>
      <c r="E76" s="38">
        <f t="shared" si="4"/>
        <v>13.222259374253643</v>
      </c>
      <c r="F76" s="38">
        <f t="shared" si="3"/>
        <v>-54.50076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1683.1197999999999</v>
      </c>
      <c r="D77" s="32">
        <f>SUM(D79:D80)</f>
        <v>1541.49629</v>
      </c>
      <c r="E77" s="34">
        <f t="shared" si="4"/>
        <v>91.585654806033418</v>
      </c>
      <c r="F77" s="34">
        <f t="shared" si="3"/>
        <v>-141.6235099999999</v>
      </c>
    </row>
    <row r="78" spans="1:7" ht="15.75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 ht="17.25" customHeight="1">
      <c r="A79" s="35" t="s">
        <v>69</v>
      </c>
      <c r="B79" s="51" t="s">
        <v>70</v>
      </c>
      <c r="C79" s="37">
        <v>1013.3493</v>
      </c>
      <c r="D79" s="37">
        <v>960.52229</v>
      </c>
      <c r="E79" s="38">
        <f t="shared" si="4"/>
        <v>94.786890364457747</v>
      </c>
      <c r="F79" s="38">
        <f t="shared" si="3"/>
        <v>-52.827009999999973</v>
      </c>
    </row>
    <row r="80" spans="1:7" ht="17.850000000000001" customHeight="1">
      <c r="A80" s="35" t="s">
        <v>71</v>
      </c>
      <c r="B80" s="39" t="s">
        <v>72</v>
      </c>
      <c r="C80" s="37">
        <v>669.77049999999997</v>
      </c>
      <c r="D80" s="37">
        <v>580.97400000000005</v>
      </c>
      <c r="E80" s="38">
        <f t="shared" si="4"/>
        <v>86.742249770630394</v>
      </c>
      <c r="F80" s="38">
        <f t="shared" si="3"/>
        <v>-88.796499999999924</v>
      </c>
    </row>
    <row r="81" spans="1:6" s="6" customFormat="1" ht="17.850000000000001" customHeight="1">
      <c r="A81" s="30" t="s">
        <v>83</v>
      </c>
      <c r="B81" s="31" t="s">
        <v>84</v>
      </c>
      <c r="C81" s="32">
        <f>C82</f>
        <v>1253.1610000000001</v>
      </c>
      <c r="D81" s="32">
        <f>D82</f>
        <v>950.95195000000001</v>
      </c>
      <c r="E81" s="34">
        <f t="shared" si="4"/>
        <v>75.884259883606333</v>
      </c>
      <c r="F81" s="34">
        <f t="shared" si="3"/>
        <v>-302.20905000000005</v>
      </c>
    </row>
    <row r="82" spans="1:6" ht="15" customHeight="1">
      <c r="A82" s="35" t="s">
        <v>85</v>
      </c>
      <c r="B82" s="39" t="s">
        <v>229</v>
      </c>
      <c r="C82" s="37">
        <v>1253.1610000000001</v>
      </c>
      <c r="D82" s="37">
        <v>950.95195000000001</v>
      </c>
      <c r="E82" s="38">
        <f t="shared" si="4"/>
        <v>75.884259883606333</v>
      </c>
      <c r="F82" s="38">
        <f t="shared" si="3"/>
        <v>-302.20905000000005</v>
      </c>
    </row>
    <row r="83" spans="1:6" s="6" customFormat="1" ht="0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4"/>
        <v>#DIV/0!</v>
      </c>
      <c r="F83" s="34">
        <f t="shared" si="3"/>
        <v>0</v>
      </c>
    </row>
    <row r="84" spans="1:6" ht="0.75" hidden="1" customHeight="1">
      <c r="A84" s="53">
        <v>1001</v>
      </c>
      <c r="B84" s="54" t="s">
        <v>87</v>
      </c>
      <c r="C84" s="37"/>
      <c r="D84" s="37"/>
      <c r="E84" s="38" t="e">
        <f t="shared" si="4"/>
        <v>#DIV/0!</v>
      </c>
      <c r="F84" s="38">
        <f t="shared" si="3"/>
        <v>0</v>
      </c>
    </row>
    <row r="85" spans="1:6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4"/>
        <v>#DIV/0!</v>
      </c>
      <c r="F85" s="38">
        <f t="shared" si="3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4"/>
        <v>#DIV/0!</v>
      </c>
      <c r="F86" s="38">
        <f t="shared" si="3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3"/>
        <v>0</v>
      </c>
    </row>
    <row r="88" spans="1:6" ht="17.850000000000001" customHeight="1">
      <c r="A88" s="30" t="s">
        <v>92</v>
      </c>
      <c r="B88" s="31" t="s">
        <v>93</v>
      </c>
      <c r="C88" s="32">
        <f>C89+C90+C91+C92+C93</f>
        <v>2</v>
      </c>
      <c r="D88" s="32">
        <f>D89+D90+D91+D92+D93</f>
        <v>0</v>
      </c>
      <c r="E88" s="38">
        <f t="shared" si="4"/>
        <v>0</v>
      </c>
      <c r="F88" s="22">
        <f>F89+F90+F91+F92+F93</f>
        <v>-2</v>
      </c>
    </row>
    <row r="89" spans="1:6" ht="17.25" customHeight="1">
      <c r="A89" s="35" t="s">
        <v>94</v>
      </c>
      <c r="B89" s="39" t="s">
        <v>95</v>
      </c>
      <c r="C89" s="37">
        <v>2</v>
      </c>
      <c r="D89" s="37">
        <v>0</v>
      </c>
      <c r="E89" s="38">
        <f t="shared" si="4"/>
        <v>0</v>
      </c>
      <c r="F89" s="38">
        <f>SUM(D89-C89)</f>
        <v>-2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4"/>
        <v>#DIV/0!</v>
      </c>
      <c r="F93" s="38"/>
    </row>
    <row r="94" spans="1:6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4"/>
        <v>#DIV/0!</v>
      </c>
      <c r="F94" s="34">
        <f t="shared" si="3"/>
        <v>0</v>
      </c>
    </row>
    <row r="95" spans="1:6" ht="15.75" hidden="1" customHeight="1">
      <c r="A95" s="53">
        <v>1401</v>
      </c>
      <c r="B95" s="54" t="s">
        <v>113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8" hidden="1" customHeight="1">
      <c r="A96" s="53">
        <v>1402</v>
      </c>
      <c r="B96" s="54" t="s">
        <v>114</v>
      </c>
      <c r="C96" s="175"/>
      <c r="D96" s="176"/>
      <c r="E96" s="38" t="e">
        <f t="shared" si="4"/>
        <v>#DIV/0!</v>
      </c>
      <c r="F96" s="38">
        <f t="shared" si="3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4"/>
        <v>#DIV/0!</v>
      </c>
      <c r="F97" s="38">
        <f t="shared" si="3"/>
        <v>0</v>
      </c>
    </row>
    <row r="98" spans="1:8" s="6" customFormat="1" ht="16.5" customHeight="1">
      <c r="A98" s="52"/>
      <c r="B98" s="57" t="s">
        <v>116</v>
      </c>
      <c r="C98" s="475">
        <f>C56+C64+C66+C72+C77+C81+C83+C88+C94</f>
        <v>6064.1102300000002</v>
      </c>
      <c r="D98" s="462">
        <f>D56+D64+D66+D72+D77+D81+D88</f>
        <v>5223.5426399999997</v>
      </c>
      <c r="E98" s="34">
        <f t="shared" si="4"/>
        <v>86.138649230985351</v>
      </c>
      <c r="F98" s="34">
        <f t="shared" si="3"/>
        <v>-840.56759000000056</v>
      </c>
      <c r="G98" s="248"/>
      <c r="H98" s="248"/>
    </row>
    <row r="99" spans="1:8" ht="20.25" customHeight="1">
      <c r="C99" s="126"/>
      <c r="D99" s="101"/>
    </row>
    <row r="100" spans="1:8" s="65" customFormat="1" ht="13.5" customHeight="1">
      <c r="A100" s="63" t="s">
        <v>117</v>
      </c>
      <c r="B100" s="63"/>
      <c r="C100" s="116"/>
      <c r="D100" s="64"/>
    </row>
    <row r="101" spans="1:8" s="65" customFormat="1" ht="12.75">
      <c r="A101" s="66" t="s">
        <v>118</v>
      </c>
      <c r="B101" s="66"/>
      <c r="C101" s="134" t="s">
        <v>119</v>
      </c>
      <c r="D101" s="134"/>
    </row>
    <row r="102" spans="1:8" ht="5.25" customHeight="1">
      <c r="C102" s="120"/>
    </row>
    <row r="144" hidden="1"/>
  </sheetData>
  <customSheetViews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1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3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5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6"/>
    </customSheetView>
    <customSheetView guid="{B30CE22D-C12F-4E12-8BB9-3AAE0A6991CC}" scale="70" showPageBreaks="1" hiddenRows="1" view="pageBreakPreview" topLeftCell="A16">
      <selection activeCell="C96" sqref="C96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25">
      <selection activeCell="D80" sqref="D80"/>
      <pageMargins left="0.7" right="0.7" top="0.75" bottom="0.75" header="0.3" footer="0.3"/>
      <pageSetup paperSize="9" scale="42" orientation="portrait" r:id="rId8"/>
    </customSheetView>
    <customSheetView guid="{61528DAC-5C4C-48F4-ADE2-8A724B05A086}" scale="70" showPageBreaks="1" hiddenRows="1" view="pageBreakPreview">
      <selection activeCell="C89" sqref="C89"/>
      <pageMargins left="0.70866141732283472" right="0.70866141732283472" top="0.74803149606299213" bottom="0.74803149606299213" header="0.31496062992125984" footer="0.31496062992125984"/>
      <pageSetup paperSize="9" scale="56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40" zoomScale="7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6" t="s">
        <v>430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1096</v>
      </c>
      <c r="D4" s="5">
        <f>D5+D12+D14+D17+D20+D7</f>
        <v>956.31533999999999</v>
      </c>
      <c r="E4" s="5">
        <f>SUM(D4/C4*100)</f>
        <v>87.255049270072988</v>
      </c>
      <c r="F4" s="5">
        <f>SUM(D4-C4)</f>
        <v>-139.68466000000001</v>
      </c>
    </row>
    <row r="5" spans="1:6" s="6" customFormat="1">
      <c r="A5" s="68">
        <v>1010000000</v>
      </c>
      <c r="B5" s="67" t="s">
        <v>5</v>
      </c>
      <c r="C5" s="5">
        <f>C6</f>
        <v>106.5</v>
      </c>
      <c r="D5" s="5">
        <f>D6</f>
        <v>85.110029999999995</v>
      </c>
      <c r="E5" s="5">
        <f t="shared" ref="E5:E51" si="0">SUM(D5/C5*100)</f>
        <v>79.915521126760552</v>
      </c>
      <c r="F5" s="5">
        <f t="shared" ref="F5:F51" si="1">SUM(D5-C5)</f>
        <v>-21.389970000000005</v>
      </c>
    </row>
    <row r="6" spans="1:6">
      <c r="A6" s="7">
        <v>1010200001</v>
      </c>
      <c r="B6" s="8" t="s">
        <v>224</v>
      </c>
      <c r="C6" s="9">
        <v>106.5</v>
      </c>
      <c r="D6" s="10">
        <v>85.110029999999995</v>
      </c>
      <c r="E6" s="9">
        <f t="shared" ref="E6:E11" si="2">SUM(D6/C6*100)</f>
        <v>79.915521126760552</v>
      </c>
      <c r="F6" s="9">
        <f t="shared" si="1"/>
        <v>-21.389970000000005</v>
      </c>
    </row>
    <row r="7" spans="1:6" ht="31.5">
      <c r="A7" s="3">
        <v>1030000000</v>
      </c>
      <c r="B7" s="13" t="s">
        <v>266</v>
      </c>
      <c r="C7" s="5">
        <f>C8+C10+C9</f>
        <v>368.5</v>
      </c>
      <c r="D7" s="5">
        <f>D8+D10+D9+D11</f>
        <v>321.39926000000003</v>
      </c>
      <c r="E7" s="9">
        <f t="shared" si="2"/>
        <v>87.218252374491186</v>
      </c>
      <c r="F7" s="9">
        <f t="shared" si="1"/>
        <v>-47.100739999999973</v>
      </c>
    </row>
    <row r="8" spans="1:6">
      <c r="A8" s="7">
        <v>1030223001</v>
      </c>
      <c r="B8" s="8" t="s">
        <v>268</v>
      </c>
      <c r="C8" s="9">
        <v>137.44999999999999</v>
      </c>
      <c r="D8" s="10">
        <v>148.06379000000001</v>
      </c>
      <c r="E8" s="9">
        <f t="shared" si="2"/>
        <v>107.72192797380869</v>
      </c>
      <c r="F8" s="9">
        <f t="shared" si="1"/>
        <v>10.613790000000023</v>
      </c>
    </row>
    <row r="9" spans="1:6">
      <c r="A9" s="7">
        <v>1030224001</v>
      </c>
      <c r="B9" s="8" t="s">
        <v>274</v>
      </c>
      <c r="C9" s="9">
        <v>1.47</v>
      </c>
      <c r="D9" s="10">
        <v>1.0622799999999999</v>
      </c>
      <c r="E9" s="9">
        <f t="shared" si="2"/>
        <v>72.263945578231287</v>
      </c>
      <c r="F9" s="9">
        <f t="shared" si="1"/>
        <v>-0.40772000000000008</v>
      </c>
    </row>
    <row r="10" spans="1:6">
      <c r="A10" s="7">
        <v>1030225001</v>
      </c>
      <c r="B10" s="8" t="s">
        <v>267</v>
      </c>
      <c r="C10" s="9">
        <v>229.58</v>
      </c>
      <c r="D10" s="10">
        <v>198.9425</v>
      </c>
      <c r="E10" s="9">
        <f t="shared" si="2"/>
        <v>86.6549786566774</v>
      </c>
      <c r="F10" s="9">
        <f t="shared" si="1"/>
        <v>-30.637500000000017</v>
      </c>
    </row>
    <row r="11" spans="1:6">
      <c r="A11" s="7">
        <v>1030226001</v>
      </c>
      <c r="B11" s="8" t="s">
        <v>276</v>
      </c>
      <c r="C11" s="9">
        <v>0</v>
      </c>
      <c r="D11" s="10">
        <v>-26.669309999999999</v>
      </c>
      <c r="E11" s="9" t="e">
        <f t="shared" si="2"/>
        <v>#DIV/0!</v>
      </c>
      <c r="F11" s="9">
        <f t="shared" si="1"/>
        <v>-26.669309999999999</v>
      </c>
    </row>
    <row r="12" spans="1:6" s="6" customFormat="1">
      <c r="A12" s="68">
        <v>1050000000</v>
      </c>
      <c r="B12" s="67" t="s">
        <v>6</v>
      </c>
      <c r="C12" s="5">
        <f>SUM(C13:C13)</f>
        <v>70</v>
      </c>
      <c r="D12" s="5">
        <f>SUM(D13:D13)</f>
        <v>46.557000000000002</v>
      </c>
      <c r="E12" s="5">
        <f t="shared" si="0"/>
        <v>66.510000000000005</v>
      </c>
      <c r="F12" s="5">
        <f t="shared" si="1"/>
        <v>-23.442999999999998</v>
      </c>
    </row>
    <row r="13" spans="1:6" ht="15.75" customHeight="1">
      <c r="A13" s="7">
        <v>1050300000</v>
      </c>
      <c r="B13" s="11" t="s">
        <v>225</v>
      </c>
      <c r="C13" s="12">
        <v>70</v>
      </c>
      <c r="D13" s="10">
        <v>46.557000000000002</v>
      </c>
      <c r="E13" s="9">
        <f t="shared" si="0"/>
        <v>66.510000000000005</v>
      </c>
      <c r="F13" s="9">
        <f t="shared" si="1"/>
        <v>-23.442999999999998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546</v>
      </c>
      <c r="D14" s="5">
        <f>D15+D16</f>
        <v>500.19905</v>
      </c>
      <c r="E14" s="9">
        <f t="shared" si="0"/>
        <v>91.611547619047613</v>
      </c>
      <c r="F14" s="9">
        <f t="shared" si="1"/>
        <v>-45.80095</v>
      </c>
    </row>
    <row r="15" spans="1:6" s="6" customFormat="1" ht="15.75" customHeight="1">
      <c r="A15" s="7">
        <v>1060100000</v>
      </c>
      <c r="B15" s="11" t="s">
        <v>8</v>
      </c>
      <c r="C15" s="192">
        <v>95</v>
      </c>
      <c r="D15" s="10">
        <v>81.944270000000003</v>
      </c>
      <c r="E15" s="9">
        <f>SUM(D15/C15*100)</f>
        <v>86.257126315789478</v>
      </c>
      <c r="F15" s="9">
        <f>SUM(D15-C14)</f>
        <v>-464.05572999999998</v>
      </c>
    </row>
    <row r="16" spans="1:6" ht="15.75" customHeight="1">
      <c r="A16" s="7">
        <v>1060600000</v>
      </c>
      <c r="B16" s="11" t="s">
        <v>7</v>
      </c>
      <c r="C16" s="9">
        <v>451</v>
      </c>
      <c r="D16" s="10">
        <v>418.25477999999998</v>
      </c>
      <c r="E16" s="9">
        <f t="shared" si="0"/>
        <v>92.73941906873614</v>
      </c>
      <c r="F16" s="9">
        <f t="shared" si="1"/>
        <v>-32.745220000000018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3.05</v>
      </c>
      <c r="E17" s="5">
        <f t="shared" si="0"/>
        <v>61</v>
      </c>
      <c r="F17" s="5">
        <f t="shared" si="1"/>
        <v>-1.9500000000000002</v>
      </c>
    </row>
    <row r="18" spans="1:6" ht="18.75" customHeight="1">
      <c r="A18" s="7">
        <v>1080400001</v>
      </c>
      <c r="B18" s="8" t="s">
        <v>223</v>
      </c>
      <c r="C18" s="9">
        <v>5</v>
      </c>
      <c r="D18" s="10">
        <v>3.05</v>
      </c>
      <c r="E18" s="9">
        <f t="shared" si="0"/>
        <v>61</v>
      </c>
      <c r="F18" s="9">
        <f t="shared" si="1"/>
        <v>-1.9500000000000002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226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120.6</v>
      </c>
      <c r="D25" s="5">
        <f>D26+D29+D31+D37+D34</f>
        <v>122.16794999999999</v>
      </c>
      <c r="E25" s="5">
        <f t="shared" si="0"/>
        <v>101.30012437810944</v>
      </c>
      <c r="F25" s="5">
        <f t="shared" si="1"/>
        <v>1.5679499999999962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85.6</v>
      </c>
      <c r="D26" s="5">
        <f>D27+D28</f>
        <v>85.628799999999998</v>
      </c>
      <c r="E26" s="5">
        <f t="shared" si="0"/>
        <v>100.03364485981309</v>
      </c>
      <c r="F26" s="5">
        <f t="shared" si="1"/>
        <v>2.8800000000003934E-2</v>
      </c>
    </row>
    <row r="27" spans="1:6" ht="15.75" customHeight="1">
      <c r="A27" s="16">
        <v>1110502510</v>
      </c>
      <c r="B27" s="17" t="s">
        <v>221</v>
      </c>
      <c r="C27" s="12">
        <v>85.6</v>
      </c>
      <c r="D27" s="10">
        <v>85.628799999999998</v>
      </c>
      <c r="E27" s="9">
        <f t="shared" si="0"/>
        <v>100.03364485981309</v>
      </c>
      <c r="F27" s="9">
        <f t="shared" si="1"/>
        <v>2.8800000000003934E-2</v>
      </c>
    </row>
    <row r="28" spans="1:6" ht="17.25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35</v>
      </c>
      <c r="D29" s="5">
        <f>D30</f>
        <v>16.299720000000001</v>
      </c>
      <c r="E29" s="5">
        <f t="shared" si="0"/>
        <v>46.570628571428571</v>
      </c>
      <c r="F29" s="5">
        <f t="shared" si="1"/>
        <v>-18.700279999999999</v>
      </c>
    </row>
    <row r="30" spans="1:6" ht="17.25" customHeight="1">
      <c r="A30" s="7">
        <v>1130206005</v>
      </c>
      <c r="B30" s="8" t="s">
        <v>219</v>
      </c>
      <c r="C30" s="9">
        <v>35</v>
      </c>
      <c r="D30" s="10">
        <v>16.299720000000001</v>
      </c>
      <c r="E30" s="9">
        <f t="shared" si="0"/>
        <v>46.570628571428571</v>
      </c>
      <c r="F30" s="9">
        <f t="shared" si="1"/>
        <v>-18.700279999999999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9.5" customHeight="1">
      <c r="A34" s="3">
        <v>1160000000</v>
      </c>
      <c r="B34" s="13" t="s">
        <v>240</v>
      </c>
      <c r="C34" s="14">
        <f>C35</f>
        <v>0</v>
      </c>
      <c r="D34" s="14">
        <f>D35+D36</f>
        <v>20.239429999999999</v>
      </c>
      <c r="E34" s="14" t="e">
        <f>E35</f>
        <v>#DIV/0!</v>
      </c>
      <c r="F34" s="14">
        <f>F35</f>
        <v>0</v>
      </c>
    </row>
    <row r="35" spans="1:7" ht="37.5" customHeight="1">
      <c r="A35" s="7">
        <v>1160701000</v>
      </c>
      <c r="B35" s="8" t="s">
        <v>414</v>
      </c>
      <c r="C35" s="9">
        <v>0</v>
      </c>
      <c r="D35" s="10">
        <v>20.239429999999999</v>
      </c>
      <c r="E35" s="10" t="e">
        <f>E37</f>
        <v>#DIV/0!</v>
      </c>
      <c r="F35" s="10">
        <f>F37</f>
        <v>0</v>
      </c>
    </row>
    <row r="36" spans="1:7" ht="17.25" customHeight="1">
      <c r="A36" s="7">
        <v>1169005010</v>
      </c>
      <c r="B36" s="8"/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7">
        <f>SUM(C4,C25)</f>
        <v>1216.5999999999999</v>
      </c>
      <c r="D40" s="127">
        <f>D4+D25</f>
        <v>1078.4832899999999</v>
      </c>
      <c r="E40" s="5">
        <f t="shared" si="0"/>
        <v>88.64731957915501</v>
      </c>
      <c r="F40" s="5">
        <f t="shared" si="1"/>
        <v>-138.11671000000001</v>
      </c>
    </row>
    <row r="41" spans="1:7" s="6" customFormat="1">
      <c r="A41" s="3">
        <v>2000000000</v>
      </c>
      <c r="B41" s="4" t="s">
        <v>17</v>
      </c>
      <c r="C41" s="233">
        <f>C42+C44+C45+C46+C47+C48+C43+C50</f>
        <v>9915.8134900000005</v>
      </c>
      <c r="D41" s="5">
        <f>D42+D44+D45+D46+D47+D48+D43+D50</f>
        <v>3350.6193999999996</v>
      </c>
      <c r="E41" s="5">
        <f t="shared" si="0"/>
        <v>33.790665822618244</v>
      </c>
      <c r="F41" s="5">
        <f t="shared" si="1"/>
        <v>-6565.1940900000009</v>
      </c>
      <c r="G41" s="19"/>
    </row>
    <row r="42" spans="1:7" ht="16.5" customHeight="1">
      <c r="A42" s="16">
        <v>2021000000</v>
      </c>
      <c r="B42" s="17" t="s">
        <v>18</v>
      </c>
      <c r="C42" s="12">
        <v>2064.4</v>
      </c>
      <c r="D42" s="12">
        <v>1892.3344</v>
      </c>
      <c r="E42" s="9">
        <f t="shared" si="0"/>
        <v>91.66510366208098</v>
      </c>
      <c r="F42" s="9">
        <f t="shared" si="1"/>
        <v>-172.06560000000013</v>
      </c>
    </row>
    <row r="43" spans="1:7" ht="17.25" customHeight="1">
      <c r="A43" s="16">
        <v>2021500200</v>
      </c>
      <c r="B43" s="17" t="s">
        <v>227</v>
      </c>
      <c r="C43" s="12">
        <v>200</v>
      </c>
      <c r="D43" s="20">
        <v>200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5445.3351199999997</v>
      </c>
      <c r="D44" s="10">
        <v>416.34199999999998</v>
      </c>
      <c r="E44" s="9">
        <f>SUM(D44/C44*100)</f>
        <v>7.6458471485222388</v>
      </c>
      <c r="F44" s="9">
        <f t="shared" si="1"/>
        <v>-5028.9931200000001</v>
      </c>
    </row>
    <row r="45" spans="1:7" ht="15" customHeight="1">
      <c r="A45" s="16">
        <v>2023000000</v>
      </c>
      <c r="B45" s="17" t="s">
        <v>20</v>
      </c>
      <c r="C45" s="12">
        <v>99.185000000000002</v>
      </c>
      <c r="D45" s="187">
        <v>90.343000000000004</v>
      </c>
      <c r="E45" s="9">
        <f t="shared" si="0"/>
        <v>91.085345566365888</v>
      </c>
      <c r="F45" s="9">
        <f t="shared" si="1"/>
        <v>-8.8419999999999987</v>
      </c>
    </row>
    <row r="46" spans="1:7" ht="20.25" customHeight="1">
      <c r="A46" s="16">
        <v>2020400000</v>
      </c>
      <c r="B46" s="17" t="s">
        <v>21</v>
      </c>
      <c r="C46" s="12">
        <v>2072.4111699999999</v>
      </c>
      <c r="D46" s="188">
        <v>700</v>
      </c>
      <c r="E46" s="9">
        <f t="shared" si="0"/>
        <v>33.777081022005881</v>
      </c>
      <c r="F46" s="9">
        <f t="shared" si="1"/>
        <v>-1372.4111699999999</v>
      </c>
    </row>
    <row r="47" spans="1:7" ht="27" customHeight="1">
      <c r="A47" s="16">
        <v>2020900000</v>
      </c>
      <c r="B47" s="18" t="s">
        <v>22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20.25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26.25" customHeight="1">
      <c r="A49" s="3">
        <v>3000000000</v>
      </c>
      <c r="B49" s="13" t="s">
        <v>24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22.5" customHeight="1">
      <c r="A50" s="7">
        <v>2070500010</v>
      </c>
      <c r="B50" s="8" t="s">
        <v>331</v>
      </c>
      <c r="C50" s="12">
        <v>34.482199999999999</v>
      </c>
      <c r="D50" s="10">
        <v>51.6</v>
      </c>
      <c r="E50" s="9">
        <f t="shared" si="0"/>
        <v>149.64242420727217</v>
      </c>
      <c r="F50" s="9">
        <f t="shared" si="1"/>
        <v>17.117800000000003</v>
      </c>
    </row>
    <row r="51" spans="1:8" s="6" customFormat="1" ht="19.5" customHeight="1">
      <c r="A51" s="3"/>
      <c r="B51" s="4" t="s">
        <v>25</v>
      </c>
      <c r="C51" s="470">
        <f>C40+C41</f>
        <v>11132.413490000001</v>
      </c>
      <c r="D51" s="469">
        <f>D40+D41</f>
        <v>4429.1026899999997</v>
      </c>
      <c r="E51" s="93">
        <f t="shared" si="0"/>
        <v>39.78564660734677</v>
      </c>
      <c r="F51" s="93">
        <f t="shared" si="1"/>
        <v>-6703.3108000000011</v>
      </c>
      <c r="G51" s="200"/>
      <c r="H51" s="200"/>
    </row>
    <row r="52" spans="1:8" s="6" customFormat="1">
      <c r="A52" s="3"/>
      <c r="B52" s="21" t="s">
        <v>306</v>
      </c>
      <c r="C52" s="93">
        <f>C51-C98</f>
        <v>-423.5707599999987</v>
      </c>
      <c r="D52" s="93">
        <f>D51-D98</f>
        <v>-328.09303999999975</v>
      </c>
      <c r="E52" s="22"/>
      <c r="F52" s="22"/>
    </row>
    <row r="53" spans="1:8">
      <c r="A53" s="23"/>
      <c r="B53" s="24"/>
      <c r="C53" s="186"/>
      <c r="D53" s="186"/>
      <c r="E53" s="26"/>
      <c r="F53" s="27"/>
    </row>
    <row r="54" spans="1:8" ht="46.5" customHeight="1">
      <c r="A54" s="28" t="s">
        <v>0</v>
      </c>
      <c r="B54" s="28" t="s">
        <v>26</v>
      </c>
      <c r="C54" s="179" t="s">
        <v>398</v>
      </c>
      <c r="D54" s="180" t="s">
        <v>416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27</v>
      </c>
      <c r="B56" s="31" t="s">
        <v>28</v>
      </c>
      <c r="C56" s="182">
        <f>C57+C58+C59+C60+C61+C63+C62</f>
        <v>1396.1200000000001</v>
      </c>
      <c r="D56" s="462">
        <f>D57+D58+D59+D60+D61+D63+D62</f>
        <v>1233.3956900000001</v>
      </c>
      <c r="E56" s="34">
        <f>SUM(D56/C56*100)</f>
        <v>88.344532704925072</v>
      </c>
      <c r="F56" s="34">
        <f>SUM(D56-C56)</f>
        <v>-162.72431000000006</v>
      </c>
    </row>
    <row r="57" spans="1:8" s="6" customFormat="1" ht="31.5" hidden="1">
      <c r="A57" s="35" t="s">
        <v>29</v>
      </c>
      <c r="B57" s="36" t="s">
        <v>30</v>
      </c>
      <c r="C57" s="37"/>
      <c r="D57" s="136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1340.9</v>
      </c>
      <c r="D58" s="37">
        <v>1185.3956900000001</v>
      </c>
      <c r="E58" s="38">
        <f t="shared" ref="E58:E98" si="3">SUM(D58/C58*100)</f>
        <v>88.402989782981578</v>
      </c>
      <c r="F58" s="38">
        <f t="shared" ref="F58:F98" si="4">SUM(D58-C58)</f>
        <v>-155.50431000000003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>
        <v>27</v>
      </c>
      <c r="D61" s="37">
        <v>27</v>
      </c>
      <c r="E61" s="38">
        <f t="shared" si="3"/>
        <v>100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41</v>
      </c>
      <c r="B63" s="39" t="s">
        <v>42</v>
      </c>
      <c r="C63" s="37">
        <v>23.22</v>
      </c>
      <c r="D63" s="37">
        <v>21</v>
      </c>
      <c r="E63" s="38">
        <f t="shared" si="3"/>
        <v>90.439276485788128</v>
      </c>
      <c r="F63" s="38">
        <f t="shared" si="4"/>
        <v>-2.2199999999999989</v>
      </c>
    </row>
    <row r="64" spans="1:8" s="6" customFormat="1">
      <c r="A64" s="41" t="s">
        <v>43</v>
      </c>
      <c r="B64" s="42" t="s">
        <v>44</v>
      </c>
      <c r="C64" s="32">
        <f>C65</f>
        <v>99.185000000000002</v>
      </c>
      <c r="D64" s="253">
        <f>D65</f>
        <v>79.913489999999996</v>
      </c>
      <c r="E64" s="34">
        <f t="shared" si="3"/>
        <v>80.5701366133992</v>
      </c>
      <c r="F64" s="34">
        <f t="shared" si="4"/>
        <v>-19.271510000000006</v>
      </c>
    </row>
    <row r="65" spans="1:7">
      <c r="A65" s="43" t="s">
        <v>45</v>
      </c>
      <c r="B65" s="44" t="s">
        <v>46</v>
      </c>
      <c r="C65" s="37">
        <v>99.185000000000002</v>
      </c>
      <c r="D65" s="37">
        <v>79.913489999999996</v>
      </c>
      <c r="E65" s="38">
        <f t="shared" si="3"/>
        <v>80.5701366133992</v>
      </c>
      <c r="F65" s="38">
        <f t="shared" si="4"/>
        <v>-19.271510000000006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7.4</v>
      </c>
      <c r="D66" s="253">
        <f>SUM(D69+D70+D71)</f>
        <v>4.6219099999999997</v>
      </c>
      <c r="E66" s="34">
        <f t="shared" si="3"/>
        <v>62.458243243243238</v>
      </c>
      <c r="F66" s="34">
        <f t="shared" si="4"/>
        <v>-2.7780900000000006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7">
        <v>3</v>
      </c>
      <c r="D69" s="37">
        <v>2.8219099999999999</v>
      </c>
      <c r="E69" s="38">
        <f t="shared" si="3"/>
        <v>94.063666666666663</v>
      </c>
      <c r="F69" s="38">
        <f t="shared" si="4"/>
        <v>-0.17809000000000008</v>
      </c>
    </row>
    <row r="70" spans="1:7" ht="15.75" customHeight="1">
      <c r="A70" s="46" t="s">
        <v>214</v>
      </c>
      <c r="B70" s="47" t="s">
        <v>215</v>
      </c>
      <c r="C70" s="37">
        <v>2.4</v>
      </c>
      <c r="D70" s="37">
        <v>1.8</v>
      </c>
      <c r="E70" s="38">
        <f t="shared" si="3"/>
        <v>75</v>
      </c>
      <c r="F70" s="38">
        <f t="shared" si="4"/>
        <v>-0.59999999999999987</v>
      </c>
    </row>
    <row r="71" spans="1:7" ht="15.75" customHeight="1">
      <c r="A71" s="46" t="s">
        <v>336</v>
      </c>
      <c r="B71" s="47" t="s">
        <v>391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2951.3258799999999</v>
      </c>
      <c r="D72" s="464">
        <f>SUM(D73:D76)</f>
        <v>1447.9794199999999</v>
      </c>
      <c r="E72" s="34">
        <f t="shared" si="3"/>
        <v>49.061997179382985</v>
      </c>
      <c r="F72" s="34">
        <f t="shared" si="4"/>
        <v>-1503.34646</v>
      </c>
    </row>
    <row r="73" spans="1:7" ht="15.7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2882.4258799999998</v>
      </c>
      <c r="D75" s="37">
        <v>1392.4794199999999</v>
      </c>
      <c r="E75" s="38">
        <f t="shared" si="3"/>
        <v>48.309288008474304</v>
      </c>
      <c r="F75" s="38">
        <f t="shared" si="4"/>
        <v>-1489.9464599999999</v>
      </c>
    </row>
    <row r="76" spans="1:7" ht="16.5" customHeight="1">
      <c r="A76" s="35" t="s">
        <v>63</v>
      </c>
      <c r="B76" s="39" t="s">
        <v>64</v>
      </c>
      <c r="C76" s="49">
        <v>68.900000000000006</v>
      </c>
      <c r="D76" s="37">
        <v>55.5</v>
      </c>
      <c r="E76" s="38">
        <f t="shared" si="3"/>
        <v>80.551523947750354</v>
      </c>
      <c r="F76" s="38">
        <f t="shared" si="4"/>
        <v>-13.400000000000006</v>
      </c>
    </row>
    <row r="77" spans="1:7" s="6" customFormat="1" ht="19.5" customHeight="1">
      <c r="A77" s="30" t="s">
        <v>65</v>
      </c>
      <c r="B77" s="31" t="s">
        <v>66</v>
      </c>
      <c r="C77" s="32">
        <f>SUM(C78:C80)</f>
        <v>6069.5533699999996</v>
      </c>
      <c r="D77" s="463">
        <f>SUM(D78:D80)</f>
        <v>1221.1652200000001</v>
      </c>
      <c r="E77" s="34">
        <f t="shared" si="3"/>
        <v>20.119523555651678</v>
      </c>
      <c r="F77" s="34">
        <f t="shared" si="4"/>
        <v>-4848.3881499999998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2072.85</v>
      </c>
      <c r="D79" s="37">
        <v>83.3523</v>
      </c>
      <c r="E79" s="38">
        <f t="shared" si="3"/>
        <v>4.0211448006368045</v>
      </c>
      <c r="F79" s="38">
        <f t="shared" si="4"/>
        <v>-1989.4976999999999</v>
      </c>
    </row>
    <row r="80" spans="1:7">
      <c r="A80" s="35" t="s">
        <v>71</v>
      </c>
      <c r="B80" s="39" t="s">
        <v>72</v>
      </c>
      <c r="C80" s="37">
        <v>3996.7033700000002</v>
      </c>
      <c r="D80" s="37">
        <v>1137.8129200000001</v>
      </c>
      <c r="E80" s="38">
        <f t="shared" si="3"/>
        <v>28.468785763302719</v>
      </c>
      <c r="F80" s="38">
        <f t="shared" si="4"/>
        <v>-2858.8904499999999</v>
      </c>
    </row>
    <row r="81" spans="1:7" s="6" customFormat="1">
      <c r="A81" s="30" t="s">
        <v>83</v>
      </c>
      <c r="B81" s="31" t="s">
        <v>84</v>
      </c>
      <c r="C81" s="32">
        <f>C82</f>
        <v>1022.4</v>
      </c>
      <c r="D81" s="463">
        <f>SUM(D82)</f>
        <v>766.8</v>
      </c>
      <c r="E81" s="34">
        <f t="shared" si="3"/>
        <v>75</v>
      </c>
      <c r="F81" s="34">
        <f t="shared" si="4"/>
        <v>-255.60000000000002</v>
      </c>
    </row>
    <row r="82" spans="1:7" ht="17.25" customHeight="1">
      <c r="A82" s="35" t="s">
        <v>85</v>
      </c>
      <c r="B82" s="39" t="s">
        <v>229</v>
      </c>
      <c r="C82" s="37">
        <v>1022.4</v>
      </c>
      <c r="D82" s="37">
        <v>766.8</v>
      </c>
      <c r="E82" s="38">
        <f t="shared" si="3"/>
        <v>75</v>
      </c>
      <c r="F82" s="38">
        <f t="shared" si="4"/>
        <v>-255.60000000000002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10</v>
      </c>
      <c r="D88" s="32">
        <f>D89</f>
        <v>3.32</v>
      </c>
      <c r="E88" s="38">
        <f t="shared" si="3"/>
        <v>33.199999999999996</v>
      </c>
      <c r="F88" s="22">
        <f>F89+F90+F91+F92+F93</f>
        <v>-6.68</v>
      </c>
    </row>
    <row r="89" spans="1:7" ht="19.5" customHeight="1">
      <c r="A89" s="35" t="s">
        <v>94</v>
      </c>
      <c r="B89" s="39" t="s">
        <v>95</v>
      </c>
      <c r="C89" s="37">
        <v>10</v>
      </c>
      <c r="D89" s="37">
        <v>3.32</v>
      </c>
      <c r="E89" s="38">
        <f t="shared" si="3"/>
        <v>33.199999999999996</v>
      </c>
      <c r="F89" s="38">
        <f>SUM(D89-C89)</f>
        <v>-6.68</v>
      </c>
      <c r="G89" s="246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322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457">
        <f>C56+C64+C66+C72+C77+C81+C83+C88+C94</f>
        <v>11555.98425</v>
      </c>
      <c r="D98" s="457">
        <f>D56+D64+D66+D72+D77+D81+D83+D88+D94</f>
        <v>4757.1957299999995</v>
      </c>
      <c r="E98" s="34">
        <f t="shared" si="3"/>
        <v>41.16651275290549</v>
      </c>
      <c r="F98" s="34">
        <f t="shared" si="4"/>
        <v>-6798.7885200000001</v>
      </c>
      <c r="G98" s="200"/>
      <c r="H98" s="200"/>
    </row>
    <row r="99" spans="1:8">
      <c r="C99" s="126"/>
      <c r="D99" s="101"/>
    </row>
    <row r="100" spans="1:8" s="65" customFormat="1" ht="16.5" customHeight="1">
      <c r="A100" s="63" t="s">
        <v>117</v>
      </c>
      <c r="B100" s="63"/>
      <c r="C100" s="185"/>
      <c r="D100" s="185"/>
      <c r="E100" s="247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20"/>
    </row>
    <row r="104" spans="1:8" ht="5.25" customHeight="1"/>
    <row r="142" hidden="1"/>
  </sheetData>
  <customSheetViews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1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6"/>
    </customSheetView>
    <customSheetView guid="{B30CE22D-C12F-4E12-8BB9-3AAE0A6991CC}" scale="70" showPageBreaks="1" printArea="1" hiddenRows="1" view="pageBreakPreview" topLeftCell="A28">
      <selection activeCell="C65" sqref="C65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28">
      <selection activeCell="D98" sqref="D98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hiddenRows="1" view="pageBreakPreview" topLeftCell="A28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55" zoomScale="70" zoomScaleSheetLayoutView="70" workbookViewId="0">
      <selection activeCell="C89" sqref="C89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7" t="s">
        <v>431</v>
      </c>
      <c r="B1" s="547"/>
      <c r="C1" s="547"/>
      <c r="D1" s="547"/>
      <c r="E1" s="547"/>
      <c r="F1" s="547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812.43000000000006</v>
      </c>
      <c r="D4" s="5">
        <f>D5+D12+D14+D17+D7</f>
        <v>699.31348000000003</v>
      </c>
      <c r="E4" s="5">
        <f>SUM(D4/C4*100)</f>
        <v>86.076767229176667</v>
      </c>
      <c r="F4" s="5">
        <f>SUM(D4-C4)</f>
        <v>-113.11652000000004</v>
      </c>
    </row>
    <row r="5" spans="1:6" s="6" customFormat="1">
      <c r="A5" s="68">
        <v>1010000000</v>
      </c>
      <c r="B5" s="67" t="s">
        <v>5</v>
      </c>
      <c r="C5" s="5">
        <f>C6</f>
        <v>44.3</v>
      </c>
      <c r="D5" s="5">
        <f>D6</f>
        <v>47.4544</v>
      </c>
      <c r="E5" s="5">
        <f t="shared" ref="E5:E51" si="0">SUM(D5/C5*100)</f>
        <v>107.12054176072235</v>
      </c>
      <c r="F5" s="5">
        <f t="shared" ref="F5:F51" si="1">SUM(D5-C5)</f>
        <v>3.1544000000000025</v>
      </c>
    </row>
    <row r="6" spans="1:6">
      <c r="A6" s="7">
        <v>1010200001</v>
      </c>
      <c r="B6" s="8" t="s">
        <v>224</v>
      </c>
      <c r="C6" s="9">
        <v>44.3</v>
      </c>
      <c r="D6" s="10">
        <v>47.4544</v>
      </c>
      <c r="E6" s="9">
        <f t="shared" ref="E6:E11" si="2">SUM(D6/C6*100)</f>
        <v>107.12054176072235</v>
      </c>
      <c r="F6" s="9">
        <f t="shared" si="1"/>
        <v>3.1544000000000025</v>
      </c>
    </row>
    <row r="7" spans="1:6" ht="31.5">
      <c r="A7" s="3">
        <v>1030000000</v>
      </c>
      <c r="B7" s="13" t="s">
        <v>266</v>
      </c>
      <c r="C7" s="5">
        <f>C8+C10+C9</f>
        <v>376.13</v>
      </c>
      <c r="D7" s="5">
        <f>D8+D10+D9+D11</f>
        <v>328.04895999999997</v>
      </c>
      <c r="E7" s="5">
        <f t="shared" si="2"/>
        <v>87.216909047403817</v>
      </c>
      <c r="F7" s="5">
        <f t="shared" si="1"/>
        <v>-48.08104000000003</v>
      </c>
    </row>
    <row r="8" spans="1:6">
      <c r="A8" s="7">
        <v>1030223001</v>
      </c>
      <c r="B8" s="8" t="s">
        <v>268</v>
      </c>
      <c r="C8" s="9">
        <v>140.30000000000001</v>
      </c>
      <c r="D8" s="10">
        <v>151.12719000000001</v>
      </c>
      <c r="E8" s="9">
        <f t="shared" si="2"/>
        <v>107.71717034925162</v>
      </c>
      <c r="F8" s="9">
        <f t="shared" si="1"/>
        <v>10.827190000000002</v>
      </c>
    </row>
    <row r="9" spans="1:6">
      <c r="A9" s="7">
        <v>1030224001</v>
      </c>
      <c r="B9" s="8" t="s">
        <v>274</v>
      </c>
      <c r="C9" s="9">
        <v>1.5</v>
      </c>
      <c r="D9" s="10">
        <v>1.08426</v>
      </c>
      <c r="E9" s="9">
        <f t="shared" si="2"/>
        <v>72.284000000000006</v>
      </c>
      <c r="F9" s="9">
        <f t="shared" si="1"/>
        <v>-0.41574</v>
      </c>
    </row>
    <row r="10" spans="1:6">
      <c r="A10" s="7">
        <v>1030225001</v>
      </c>
      <c r="B10" s="8" t="s">
        <v>267</v>
      </c>
      <c r="C10" s="9">
        <v>234.33</v>
      </c>
      <c r="D10" s="10">
        <v>203.05859000000001</v>
      </c>
      <c r="E10" s="9">
        <f t="shared" si="2"/>
        <v>86.654969487474929</v>
      </c>
      <c r="F10" s="9">
        <f t="shared" si="1"/>
        <v>-31.271410000000003</v>
      </c>
    </row>
    <row r="11" spans="1:6">
      <c r="A11" s="7">
        <v>1030226001</v>
      </c>
      <c r="B11" s="8" t="s">
        <v>276</v>
      </c>
      <c r="C11" s="9">
        <v>0</v>
      </c>
      <c r="D11" s="10">
        <v>-27.221080000000001</v>
      </c>
      <c r="E11" s="9" t="e">
        <f t="shared" si="2"/>
        <v>#DIV/0!</v>
      </c>
      <c r="F11" s="9">
        <f t="shared" si="1"/>
        <v>-27.221080000000001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20.873100000000001</v>
      </c>
      <c r="E12" s="5">
        <f t="shared" si="0"/>
        <v>41.746200000000002</v>
      </c>
      <c r="F12" s="5">
        <f t="shared" si="1"/>
        <v>-29.126899999999999</v>
      </c>
    </row>
    <row r="13" spans="1:6" ht="15.75" customHeight="1">
      <c r="A13" s="7">
        <v>1050300000</v>
      </c>
      <c r="B13" s="11" t="s">
        <v>225</v>
      </c>
      <c r="C13" s="12">
        <v>50</v>
      </c>
      <c r="D13" s="10">
        <v>20.873100000000001</v>
      </c>
      <c r="E13" s="9">
        <f t="shared" si="0"/>
        <v>41.746200000000002</v>
      </c>
      <c r="F13" s="9">
        <f t="shared" si="1"/>
        <v>-29.126899999999999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339</v>
      </c>
      <c r="D14" s="5">
        <f>D15+D16</f>
        <v>300.58702</v>
      </c>
      <c r="E14" s="5">
        <f t="shared" si="0"/>
        <v>88.668737463126845</v>
      </c>
      <c r="F14" s="5">
        <f t="shared" si="1"/>
        <v>-38.412980000000005</v>
      </c>
    </row>
    <row r="15" spans="1:6" s="6" customFormat="1" ht="15.75" customHeight="1">
      <c r="A15" s="7">
        <v>1060100000</v>
      </c>
      <c r="B15" s="11" t="s">
        <v>8</v>
      </c>
      <c r="C15" s="9">
        <v>65</v>
      </c>
      <c r="D15" s="10">
        <v>48.594990000000003</v>
      </c>
      <c r="E15" s="9">
        <f t="shared" si="0"/>
        <v>74.761523076923083</v>
      </c>
      <c r="F15" s="9">
        <f>SUM(D15-C15)</f>
        <v>-16.405009999999997</v>
      </c>
    </row>
    <row r="16" spans="1:6" ht="15.75" customHeight="1">
      <c r="A16" s="7">
        <v>1060600000</v>
      </c>
      <c r="B16" s="11" t="s">
        <v>7</v>
      </c>
      <c r="C16" s="9">
        <v>274</v>
      </c>
      <c r="D16" s="10">
        <v>251.99203</v>
      </c>
      <c r="E16" s="9">
        <f t="shared" si="0"/>
        <v>91.967894160583938</v>
      </c>
      <c r="F16" s="9">
        <f t="shared" si="1"/>
        <v>-22.00797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2.35</v>
      </c>
      <c r="E17" s="5">
        <f t="shared" si="0"/>
        <v>78.333333333333329</v>
      </c>
      <c r="F17" s="5">
        <f t="shared" si="1"/>
        <v>-0.64999999999999991</v>
      </c>
    </row>
    <row r="18" spans="1:6" ht="16.5" customHeight="1">
      <c r="A18" s="7">
        <v>1080400001</v>
      </c>
      <c r="B18" s="8" t="s">
        <v>223</v>
      </c>
      <c r="C18" s="9">
        <v>3</v>
      </c>
      <c r="D18" s="10">
        <v>2.35</v>
      </c>
      <c r="E18" s="9">
        <f t="shared" si="0"/>
        <v>78.333333333333329</v>
      </c>
      <c r="F18" s="9">
        <f t="shared" si="1"/>
        <v>-0.64999999999999991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199</v>
      </c>
      <c r="D25" s="5">
        <f>D26+D29+D31+D37+D34</f>
        <v>122.68378</v>
      </c>
      <c r="E25" s="5">
        <f t="shared" si="0"/>
        <v>61.650140703517586</v>
      </c>
      <c r="F25" s="5">
        <f t="shared" si="1"/>
        <v>-76.316220000000001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179</v>
      </c>
      <c r="D26" s="5">
        <f>D27+D28</f>
        <v>109.93145</v>
      </c>
      <c r="E26" s="5">
        <f t="shared" si="0"/>
        <v>61.41421787709497</v>
      </c>
      <c r="F26" s="5">
        <f t="shared" si="1"/>
        <v>-69.068550000000002</v>
      </c>
    </row>
    <row r="27" spans="1:6">
      <c r="A27" s="16">
        <v>1110502510</v>
      </c>
      <c r="B27" s="17" t="s">
        <v>221</v>
      </c>
      <c r="C27" s="12">
        <v>153</v>
      </c>
      <c r="D27" s="10">
        <v>86.087850000000003</v>
      </c>
      <c r="E27" s="9">
        <f t="shared" si="0"/>
        <v>56.266568627450987</v>
      </c>
      <c r="F27" s="9">
        <f t="shared" si="1"/>
        <v>-66.912149999999997</v>
      </c>
    </row>
    <row r="28" spans="1:6" ht="18.75" customHeight="1">
      <c r="A28" s="7">
        <v>1110503505</v>
      </c>
      <c r="B28" s="11" t="s">
        <v>220</v>
      </c>
      <c r="C28" s="12">
        <v>26</v>
      </c>
      <c r="D28" s="10">
        <v>23.843599999999999</v>
      </c>
      <c r="E28" s="9">
        <f t="shared" si="0"/>
        <v>91.706153846153839</v>
      </c>
      <c r="F28" s="9">
        <f t="shared" si="1"/>
        <v>-2.1564000000000014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20</v>
      </c>
      <c r="D29" s="5">
        <f>D30</f>
        <v>7.62521</v>
      </c>
      <c r="E29" s="5">
        <f t="shared" si="0"/>
        <v>38.126049999999999</v>
      </c>
      <c r="F29" s="5">
        <f t="shared" si="1"/>
        <v>-12.374790000000001</v>
      </c>
    </row>
    <row r="30" spans="1:6" ht="14.25" customHeight="1">
      <c r="A30" s="7">
        <v>1130206005</v>
      </c>
      <c r="B30" s="8" t="s">
        <v>219</v>
      </c>
      <c r="C30" s="9">
        <v>20</v>
      </c>
      <c r="D30" s="10">
        <v>7.62521</v>
      </c>
      <c r="E30" s="9">
        <f t="shared" si="0"/>
        <v>38.126049999999999</v>
      </c>
      <c r="F30" s="9">
        <f t="shared" si="1"/>
        <v>-12.374790000000001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1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2.75" customHeight="1">
      <c r="A34" s="3">
        <v>1160000000</v>
      </c>
      <c r="B34" s="13" t="s">
        <v>240</v>
      </c>
      <c r="C34" s="14">
        <f>C35+C36</f>
        <v>0</v>
      </c>
      <c r="D34" s="14">
        <f>D35+D36</f>
        <v>5.1271199999999997</v>
      </c>
      <c r="E34" s="5" t="e">
        <f t="shared" si="0"/>
        <v>#DIV/0!</v>
      </c>
      <c r="F34" s="5">
        <f t="shared" si="1"/>
        <v>5.1271199999999997</v>
      </c>
    </row>
    <row r="35" spans="1:7" ht="44.25" hidden="1" customHeight="1">
      <c r="A35" s="7">
        <v>1163305010</v>
      </c>
      <c r="B35" s="8"/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32.25" customHeight="1">
      <c r="A36" s="7">
        <v>11607000010</v>
      </c>
      <c r="B36" s="8"/>
      <c r="C36" s="9">
        <v>0</v>
      </c>
      <c r="D36" s="10">
        <v>5.1271199999999997</v>
      </c>
      <c r="E36" s="9" t="e">
        <f>SUM(D36/C36*100)</f>
        <v>#DIV/0!</v>
      </c>
      <c r="F36" s="9">
        <f>SUM(D36-C36)</f>
        <v>5.1271199999999997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7">
        <f>SUM(C4,C25)</f>
        <v>1011.4300000000001</v>
      </c>
      <c r="D40" s="127">
        <f>D4+D25</f>
        <v>821.99725999999998</v>
      </c>
      <c r="E40" s="5">
        <f t="shared" si="0"/>
        <v>81.270800747456562</v>
      </c>
      <c r="F40" s="5">
        <f t="shared" si="1"/>
        <v>-189.43274000000008</v>
      </c>
    </row>
    <row r="41" spans="1:7" s="6" customFormat="1">
      <c r="A41" s="3">
        <v>2000000000</v>
      </c>
      <c r="B41" s="4" t="s">
        <v>17</v>
      </c>
      <c r="C41" s="5">
        <f>C42+C43+C44+C45+C46+C47+C50</f>
        <v>5118.045900000001</v>
      </c>
      <c r="D41" s="465">
        <f>D42+D43+D44+D45+D46+D47+D50</f>
        <v>3480.3989999999999</v>
      </c>
      <c r="E41" s="5">
        <f t="shared" si="0"/>
        <v>68.002496812308763</v>
      </c>
      <c r="F41" s="5">
        <f t="shared" si="1"/>
        <v>-1637.6469000000011</v>
      </c>
      <c r="G41" s="19"/>
    </row>
    <row r="42" spans="1:7" ht="16.5" customHeight="1">
      <c r="A42" s="16">
        <v>2021000000</v>
      </c>
      <c r="B42" s="17" t="s">
        <v>18</v>
      </c>
      <c r="C42" s="12">
        <v>1263.2</v>
      </c>
      <c r="D42" s="12">
        <v>1157.915</v>
      </c>
      <c r="E42" s="9">
        <f t="shared" si="0"/>
        <v>91.665215326155788</v>
      </c>
      <c r="F42" s="9">
        <f t="shared" si="1"/>
        <v>-105.28500000000008</v>
      </c>
    </row>
    <row r="43" spans="1:7" ht="15.75" customHeight="1">
      <c r="A43" s="16">
        <v>2021500200</v>
      </c>
      <c r="B43" s="17" t="s">
        <v>227</v>
      </c>
      <c r="C43" s="12">
        <v>700</v>
      </c>
      <c r="D43" s="20">
        <v>700</v>
      </c>
      <c r="E43" s="9">
        <f t="shared" si="0"/>
        <v>100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2173.6509000000001</v>
      </c>
      <c r="D44" s="10">
        <v>749.54200000000003</v>
      </c>
      <c r="E44" s="9">
        <f t="shared" si="0"/>
        <v>34.483090177912196</v>
      </c>
      <c r="F44" s="9">
        <f t="shared" si="1"/>
        <v>-1424.1089000000002</v>
      </c>
    </row>
    <row r="45" spans="1:7" ht="13.5" customHeight="1">
      <c r="A45" s="16">
        <v>2023000000</v>
      </c>
      <c r="B45" s="17" t="s">
        <v>20</v>
      </c>
      <c r="C45" s="12">
        <v>99.185000000000002</v>
      </c>
      <c r="D45" s="187">
        <v>90.341999999999999</v>
      </c>
      <c r="E45" s="9">
        <f t="shared" si="0"/>
        <v>91.084337349397586</v>
      </c>
      <c r="F45" s="9">
        <f t="shared" si="1"/>
        <v>-8.8430000000000035</v>
      </c>
    </row>
    <row r="46" spans="1:7" ht="27.75" customHeight="1">
      <c r="A46" s="16">
        <v>2024000000</v>
      </c>
      <c r="B46" s="17" t="s">
        <v>21</v>
      </c>
      <c r="C46" s="12">
        <v>800</v>
      </c>
      <c r="D46" s="188">
        <v>700</v>
      </c>
      <c r="E46" s="9">
        <f t="shared" si="0"/>
        <v>87.5</v>
      </c>
      <c r="F46" s="9">
        <f t="shared" si="1"/>
        <v>-100</v>
      </c>
    </row>
    <row r="47" spans="1:7" ht="25.5" customHeight="1">
      <c r="A47" s="16">
        <v>2020900000</v>
      </c>
      <c r="B47" s="18" t="s">
        <v>22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31.5" customHeight="1">
      <c r="A48" s="16">
        <v>2080500010</v>
      </c>
      <c r="B48" s="18" t="s">
        <v>244</v>
      </c>
      <c r="C48" s="12"/>
      <c r="D48" s="188"/>
      <c r="E48" s="9"/>
      <c r="F48" s="9"/>
    </row>
    <row r="49" spans="1:8" s="6" customFormat="1" ht="33.75" customHeight="1">
      <c r="A49" s="3">
        <v>3000000000</v>
      </c>
      <c r="B49" s="13" t="s">
        <v>24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331</v>
      </c>
      <c r="C50" s="12">
        <v>82.01</v>
      </c>
      <c r="D50" s="10">
        <v>82.6</v>
      </c>
      <c r="E50" s="9">
        <f t="shared" si="0"/>
        <v>100.71942446043165</v>
      </c>
      <c r="F50" s="9">
        <f t="shared" si="1"/>
        <v>0.5899999999999892</v>
      </c>
    </row>
    <row r="51" spans="1:8" s="6" customFormat="1" ht="17.25" customHeight="1">
      <c r="A51" s="7">
        <v>2070500010</v>
      </c>
      <c r="B51" s="4" t="s">
        <v>25</v>
      </c>
      <c r="C51" s="467">
        <f>C40+C41</f>
        <v>6129.4759000000013</v>
      </c>
      <c r="D51" s="466">
        <f>D40+D41</f>
        <v>4302.3962599999995</v>
      </c>
      <c r="E51" s="93">
        <f t="shared" si="0"/>
        <v>70.19191086141636</v>
      </c>
      <c r="F51" s="93">
        <f t="shared" si="1"/>
        <v>-1827.0796400000017</v>
      </c>
      <c r="G51" s="94"/>
      <c r="H51" s="248"/>
    </row>
    <row r="52" spans="1:8" s="6" customFormat="1" ht="16.5" customHeight="1">
      <c r="A52" s="7"/>
      <c r="B52" s="21" t="s">
        <v>307</v>
      </c>
      <c r="C52" s="194">
        <f>C51-C98</f>
        <v>-440.19766999999774</v>
      </c>
      <c r="D52" s="194">
        <f>D51-D98</f>
        <v>441.57772999999952</v>
      </c>
      <c r="E52" s="195"/>
      <c r="F52" s="195"/>
    </row>
    <row r="53" spans="1:8">
      <c r="A53" s="3"/>
      <c r="B53" s="24"/>
      <c r="C53" s="217"/>
      <c r="D53" s="217"/>
      <c r="E53" s="26"/>
      <c r="F53" s="27"/>
    </row>
    <row r="54" spans="1:8" ht="32.25" customHeight="1">
      <c r="A54" s="23"/>
      <c r="B54" s="28" t="s">
        <v>26</v>
      </c>
      <c r="C54" s="184" t="s">
        <v>398</v>
      </c>
      <c r="D54" s="73" t="s">
        <v>416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28</v>
      </c>
      <c r="C56" s="33">
        <f>C57+C58+C59+C60+C61+C63+C62</f>
        <v>1181.259</v>
      </c>
      <c r="D56" s="476">
        <f>D57+D58+D59+D60+D61+D63+D62</f>
        <v>979.26771000000008</v>
      </c>
      <c r="E56" s="34">
        <f>SUM(D56/C56*100)</f>
        <v>82.90033853710321</v>
      </c>
      <c r="F56" s="34">
        <f>SUM(D56-C56)</f>
        <v>-201.99128999999994</v>
      </c>
    </row>
    <row r="57" spans="1:8" s="6" customFormat="1" ht="15.75" hidden="1" customHeight="1">
      <c r="A57" s="30" t="s">
        <v>27</v>
      </c>
      <c r="B57" s="36" t="s">
        <v>30</v>
      </c>
      <c r="C57" s="196"/>
      <c r="D57" s="196"/>
      <c r="E57" s="38"/>
      <c r="F57" s="38"/>
    </row>
    <row r="58" spans="1:8" ht="17.25" customHeight="1">
      <c r="A58" s="35" t="s">
        <v>31</v>
      </c>
      <c r="B58" s="39" t="s">
        <v>32</v>
      </c>
      <c r="C58" s="196">
        <v>1153.2</v>
      </c>
      <c r="D58" s="196">
        <v>957.75071000000003</v>
      </c>
      <c r="E58" s="38">
        <f t="shared" ref="E58:E98" si="3">SUM(D58/C58*100)</f>
        <v>83.051570412764477</v>
      </c>
      <c r="F58" s="38">
        <f t="shared" ref="F58:F98" si="4">SUM(D58-C58)</f>
        <v>-195.44929000000002</v>
      </c>
    </row>
    <row r="59" spans="1:8" ht="17.25" hidden="1" customHeight="1">
      <c r="A59" s="35" t="s">
        <v>31</v>
      </c>
      <c r="B59" s="39" t="s">
        <v>34</v>
      </c>
      <c r="C59" s="196"/>
      <c r="D59" s="196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96"/>
      <c r="D60" s="196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96">
        <v>20.516999999999999</v>
      </c>
      <c r="D61" s="196">
        <v>20.516999999999999</v>
      </c>
      <c r="E61" s="38">
        <f t="shared" si="3"/>
        <v>100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7">
        <v>5</v>
      </c>
      <c r="D62" s="197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96">
        <v>2.5419999999999998</v>
      </c>
      <c r="D63" s="196">
        <v>1</v>
      </c>
      <c r="E63" s="38">
        <f t="shared" si="3"/>
        <v>39.339103068450044</v>
      </c>
      <c r="F63" s="38">
        <f t="shared" si="4"/>
        <v>-1.5419999999999998</v>
      </c>
    </row>
    <row r="64" spans="1:8" s="6" customFormat="1">
      <c r="A64" s="30" t="s">
        <v>43</v>
      </c>
      <c r="B64" s="42" t="s">
        <v>44</v>
      </c>
      <c r="C64" s="33">
        <f>C65</f>
        <v>99.185000000000002</v>
      </c>
      <c r="D64" s="33">
        <f>D65</f>
        <v>81.117909999999995</v>
      </c>
      <c r="E64" s="34">
        <f t="shared" si="3"/>
        <v>81.784453294348936</v>
      </c>
      <c r="F64" s="34">
        <f t="shared" si="4"/>
        <v>-18.067090000000007</v>
      </c>
    </row>
    <row r="65" spans="1:9">
      <c r="A65" s="428" t="s">
        <v>45</v>
      </c>
      <c r="B65" s="44" t="s">
        <v>46</v>
      </c>
      <c r="C65" s="196">
        <v>99.185000000000002</v>
      </c>
      <c r="D65" s="196">
        <v>81.117909999999995</v>
      </c>
      <c r="E65" s="38">
        <f t="shared" si="3"/>
        <v>81.784453294348936</v>
      </c>
      <c r="F65" s="38">
        <f t="shared" si="4"/>
        <v>-18.067090000000007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5.87</v>
      </c>
      <c r="D66" s="33">
        <f>D69+D70+D71</f>
        <v>2.8696000000000002</v>
      </c>
      <c r="E66" s="34">
        <f t="shared" si="3"/>
        <v>48.885860306643956</v>
      </c>
      <c r="F66" s="34">
        <f t="shared" si="4"/>
        <v>-3.0004</v>
      </c>
    </row>
    <row r="67" spans="1:9" ht="1.5" hidden="1" customHeight="1">
      <c r="A67" s="30" t="s">
        <v>47</v>
      </c>
      <c r="B67" s="39" t="s">
        <v>50</v>
      </c>
      <c r="C67" s="196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96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8">
        <v>2.87</v>
      </c>
      <c r="D69" s="196">
        <v>2.8696000000000002</v>
      </c>
      <c r="E69" s="34">
        <f t="shared" si="3"/>
        <v>99.986062717770039</v>
      </c>
      <c r="F69" s="34">
        <f t="shared" si="4"/>
        <v>-3.9999999999995595E-4</v>
      </c>
    </row>
    <row r="70" spans="1:9">
      <c r="A70" s="46" t="s">
        <v>214</v>
      </c>
      <c r="B70" s="47" t="s">
        <v>215</v>
      </c>
      <c r="C70" s="196">
        <v>1</v>
      </c>
      <c r="D70" s="196">
        <v>0</v>
      </c>
      <c r="E70" s="34">
        <f t="shared" si="3"/>
        <v>0</v>
      </c>
      <c r="F70" s="34">
        <f t="shared" si="4"/>
        <v>-1</v>
      </c>
    </row>
    <row r="71" spans="1:9">
      <c r="A71" s="46" t="s">
        <v>336</v>
      </c>
      <c r="B71" s="47" t="s">
        <v>391</v>
      </c>
      <c r="C71" s="196">
        <v>2</v>
      </c>
      <c r="D71" s="196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29" t="s">
        <v>55</v>
      </c>
      <c r="B72" s="31" t="s">
        <v>56</v>
      </c>
      <c r="C72" s="33">
        <f>SUM(C73:C76)</f>
        <v>3154.1075699999997</v>
      </c>
      <c r="D72" s="33">
        <f>SUM(D73:D76)</f>
        <v>1229.00488</v>
      </c>
      <c r="E72" s="34">
        <f t="shared" si="3"/>
        <v>38.965217663771689</v>
      </c>
      <c r="F72" s="34">
        <f t="shared" si="4"/>
        <v>-1925.1026899999997</v>
      </c>
      <c r="I72" s="108"/>
    </row>
    <row r="73" spans="1:9" ht="15.75" customHeight="1">
      <c r="A73" s="35" t="s">
        <v>57</v>
      </c>
      <c r="B73" s="39" t="s">
        <v>58</v>
      </c>
      <c r="C73" s="196">
        <v>1.5189999999999999</v>
      </c>
      <c r="D73" s="196">
        <v>0</v>
      </c>
      <c r="E73" s="38">
        <f t="shared" si="3"/>
        <v>0</v>
      </c>
      <c r="F73" s="38">
        <f t="shared" si="4"/>
        <v>-1.5189999999999999</v>
      </c>
    </row>
    <row r="74" spans="1:9" s="6" customFormat="1" ht="19.5" customHeight="1">
      <c r="A74" s="35" t="s">
        <v>59</v>
      </c>
      <c r="B74" s="39" t="s">
        <v>60</v>
      </c>
      <c r="C74" s="196">
        <v>0</v>
      </c>
      <c r="D74" s="196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96">
        <v>3071.98857</v>
      </c>
      <c r="D75" s="196">
        <v>1153.40488</v>
      </c>
      <c r="E75" s="38">
        <f t="shared" si="3"/>
        <v>37.545871467874633</v>
      </c>
      <c r="F75" s="38">
        <f t="shared" si="4"/>
        <v>-1918.5836899999999</v>
      </c>
    </row>
    <row r="76" spans="1:9">
      <c r="A76" s="35" t="s">
        <v>63</v>
      </c>
      <c r="B76" s="39" t="s">
        <v>64</v>
      </c>
      <c r="C76" s="196">
        <v>80.599999999999994</v>
      </c>
      <c r="D76" s="196">
        <v>75.599999999999994</v>
      </c>
      <c r="E76" s="38">
        <f t="shared" si="3"/>
        <v>93.796526054590572</v>
      </c>
      <c r="F76" s="38">
        <f t="shared" si="4"/>
        <v>-5</v>
      </c>
    </row>
    <row r="77" spans="1:9" s="6" customFormat="1" ht="18" customHeight="1">
      <c r="A77" s="30" t="s">
        <v>65</v>
      </c>
      <c r="B77" s="31" t="s">
        <v>66</v>
      </c>
      <c r="C77" s="33">
        <f>SUM(C78:C80)</f>
        <v>1294.8520000000001</v>
      </c>
      <c r="D77" s="33">
        <f>SUM(D78:D80)</f>
        <v>798.55843000000004</v>
      </c>
      <c r="E77" s="34">
        <f t="shared" si="3"/>
        <v>61.671791834124669</v>
      </c>
      <c r="F77" s="34">
        <f t="shared" si="4"/>
        <v>-496.29357000000005</v>
      </c>
    </row>
    <row r="78" spans="1:9" ht="15" hidden="1" customHeight="1">
      <c r="A78" s="30" t="s">
        <v>65</v>
      </c>
      <c r="B78" s="51" t="s">
        <v>68</v>
      </c>
      <c r="C78" s="196"/>
      <c r="D78" s="196"/>
      <c r="E78" s="38" t="e">
        <f t="shared" si="3"/>
        <v>#DIV/0!</v>
      </c>
      <c r="F78" s="38">
        <f t="shared" si="4"/>
        <v>0</v>
      </c>
    </row>
    <row r="79" spans="1:9" ht="15.75" customHeight="1">
      <c r="A79" s="35" t="s">
        <v>69</v>
      </c>
      <c r="B79" s="51" t="s">
        <v>70</v>
      </c>
      <c r="C79" s="196">
        <v>194</v>
      </c>
      <c r="D79" s="196">
        <v>0</v>
      </c>
      <c r="E79" s="38">
        <f t="shared" si="3"/>
        <v>0</v>
      </c>
      <c r="F79" s="38">
        <f t="shared" si="4"/>
        <v>-194</v>
      </c>
    </row>
    <row r="80" spans="1:9">
      <c r="A80" s="35" t="s">
        <v>71</v>
      </c>
      <c r="B80" s="39" t="s">
        <v>72</v>
      </c>
      <c r="C80" s="196">
        <v>1100.8520000000001</v>
      </c>
      <c r="D80" s="196">
        <v>798.55843000000004</v>
      </c>
      <c r="E80" s="38">
        <f t="shared" si="3"/>
        <v>72.540035354434565</v>
      </c>
      <c r="F80" s="38">
        <f t="shared" si="4"/>
        <v>-302.29357000000005</v>
      </c>
    </row>
    <row r="81" spans="1:12" s="6" customFormat="1">
      <c r="A81" s="30" t="s">
        <v>83</v>
      </c>
      <c r="B81" s="31" t="s">
        <v>84</v>
      </c>
      <c r="C81" s="33">
        <f>C82</f>
        <v>832.4</v>
      </c>
      <c r="D81" s="33">
        <f>SUM(D82)</f>
        <v>770</v>
      </c>
      <c r="E81" s="34">
        <f t="shared" si="3"/>
        <v>92.503604036520898</v>
      </c>
      <c r="F81" s="34">
        <f t="shared" si="4"/>
        <v>-62.399999999999977</v>
      </c>
    </row>
    <row r="82" spans="1:12" ht="15.75" customHeight="1">
      <c r="A82" s="35" t="s">
        <v>85</v>
      </c>
      <c r="B82" s="39" t="s">
        <v>229</v>
      </c>
      <c r="C82" s="196">
        <v>832.4</v>
      </c>
      <c r="D82" s="196">
        <v>770</v>
      </c>
      <c r="E82" s="38">
        <f t="shared" si="3"/>
        <v>92.503604036520898</v>
      </c>
      <c r="F82" s="38">
        <f t="shared" si="4"/>
        <v>-62.399999999999977</v>
      </c>
      <c r="L82" s="107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96"/>
      <c r="D84" s="196"/>
      <c r="E84" s="243" t="e">
        <f>SUM(D84/C84*100)</f>
        <v>#DIV/0!</v>
      </c>
      <c r="F84" s="243">
        <f>SUM(D84-C84)</f>
        <v>0</v>
      </c>
    </row>
    <row r="85" spans="1:12" hidden="1">
      <c r="A85" s="53">
        <v>1001</v>
      </c>
      <c r="B85" s="54" t="s">
        <v>88</v>
      </c>
      <c r="C85" s="196"/>
      <c r="D85" s="196"/>
      <c r="E85" s="243" t="e">
        <f>SUM(D85/C85*100)</f>
        <v>#DIV/0!</v>
      </c>
      <c r="F85" s="243">
        <f>SUM(D85-C85)</f>
        <v>0</v>
      </c>
    </row>
    <row r="86" spans="1:12" hidden="1">
      <c r="A86" s="53">
        <v>1003</v>
      </c>
      <c r="B86" s="54" t="s">
        <v>89</v>
      </c>
      <c r="C86" s="196"/>
      <c r="D86" s="199"/>
      <c r="E86" s="243" t="e">
        <f>SUM(D86/C86*100)</f>
        <v>#DIV/0!</v>
      </c>
      <c r="F86" s="243">
        <f>SUM(D86-C86)</f>
        <v>0</v>
      </c>
    </row>
    <row r="87" spans="1:12" ht="15" customHeight="1">
      <c r="A87" s="53">
        <v>1004</v>
      </c>
      <c r="B87" s="39" t="s">
        <v>91</v>
      </c>
      <c r="C87" s="196">
        <v>0</v>
      </c>
      <c r="D87" s="196">
        <v>0</v>
      </c>
      <c r="E87" s="243" t="e">
        <f>SUM(D87/C87*100)</f>
        <v>#DIV/0!</v>
      </c>
      <c r="F87" s="243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2</v>
      </c>
      <c r="D88" s="33">
        <f>D89+D90+D91+D92+D93</f>
        <v>0</v>
      </c>
      <c r="E88" s="38">
        <f t="shared" si="3"/>
        <v>0</v>
      </c>
      <c r="F88" s="22">
        <f>F89+F90+F91+F92+F93</f>
        <v>-2</v>
      </c>
    </row>
    <row r="89" spans="1:12" ht="15.75" customHeight="1">
      <c r="A89" s="35" t="s">
        <v>94</v>
      </c>
      <c r="B89" s="39" t="s">
        <v>95</v>
      </c>
      <c r="C89" s="196">
        <v>2</v>
      </c>
      <c r="D89" s="196">
        <v>0</v>
      </c>
      <c r="E89" s="38">
        <f t="shared" si="3"/>
        <v>0</v>
      </c>
      <c r="F89" s="38">
        <f>SUM(D89-C89)</f>
        <v>-2</v>
      </c>
    </row>
    <row r="90" spans="1:12" ht="0.75" hidden="1" customHeight="1">
      <c r="A90" s="35" t="s">
        <v>94</v>
      </c>
      <c r="B90" s="39" t="s">
        <v>97</v>
      </c>
      <c r="C90" s="196"/>
      <c r="D90" s="196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96"/>
      <c r="D91" s="196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96"/>
      <c r="D92" s="196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96"/>
      <c r="D93" s="196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96"/>
      <c r="D95" s="196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96"/>
      <c r="D96" s="196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96"/>
      <c r="D97" s="196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462">
        <f>C56+C64+C66+C72+C77+C81+C88+C83</f>
        <v>6569.673569999999</v>
      </c>
      <c r="D98" s="462">
        <f>D56+D64+D66+D72+D77+D81+D88+D83</f>
        <v>3860.81853</v>
      </c>
      <c r="E98" s="34">
        <f t="shared" si="3"/>
        <v>58.767281035547711</v>
      </c>
      <c r="F98" s="34">
        <f t="shared" si="4"/>
        <v>-2708.855039999999</v>
      </c>
      <c r="G98" s="151"/>
      <c r="H98" s="260"/>
    </row>
    <row r="99" spans="1:8" ht="20.25" customHeight="1">
      <c r="A99" s="52"/>
      <c r="C99" s="126"/>
      <c r="D99" s="101"/>
    </row>
    <row r="100" spans="1:8" s="65" customFormat="1" ht="13.5" customHeight="1">
      <c r="A100" s="58"/>
      <c r="B100" s="63"/>
      <c r="C100" s="116"/>
      <c r="D100" s="64"/>
      <c r="E100" s="64"/>
    </row>
    <row r="101" spans="1:8" s="65" customFormat="1" ht="12.75">
      <c r="A101" s="63" t="s">
        <v>117</v>
      </c>
      <c r="B101" s="66"/>
      <c r="C101" s="134" t="s">
        <v>119</v>
      </c>
      <c r="D101" s="134"/>
    </row>
    <row r="102" spans="1:8">
      <c r="A102" s="66" t="s">
        <v>118</v>
      </c>
      <c r="C102" s="120"/>
    </row>
    <row r="104" spans="1:8" ht="5.25" customHeight="1"/>
    <row r="142" hidden="1"/>
  </sheetData>
  <customSheetViews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1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4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6"/>
    </customSheetView>
    <customSheetView guid="{B30CE22D-C12F-4E12-8BB9-3AAE0A6991CC}" scale="70" showPageBreaks="1" hiddenRows="1" view="pageBreakPreview" topLeftCell="A46">
      <selection activeCell="D83" sqref="D83"/>
      <pageMargins left="0.70866141732283472" right="0.70866141732283472" top="0.74803149606299213" bottom="0.74803149606299213" header="0.31496062992125984" footer="0.31496062992125984"/>
      <pageSetup paperSize="9" scale="53" orientation="portrait" r:id="rId7"/>
    </customSheetView>
    <customSheetView guid="{1718F1EE-9F48-4DBE-9531-3B70F9C4A5DD}" scale="70" showPageBreaks="1" hiddenRows="1" view="pageBreakPreview" topLeftCell="A32">
      <selection activeCell="D76" sqref="D76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hiddenRows="1" view="pageBreakPreview" topLeftCell="A34">
      <selection activeCell="C89" sqref="C89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47" zoomScale="70" zoomScaleSheetLayoutView="70" workbookViewId="0">
      <selection activeCell="A34" sqref="A34:B34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6" t="s">
        <v>432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43.5" customHeight="1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3023.3519999999999</v>
      </c>
      <c r="D4" s="5">
        <f>D5+D12+D14+D17+D7</f>
        <v>2647.2631000000001</v>
      </c>
      <c r="E4" s="5">
        <f>SUM(D4/C4*100)</f>
        <v>87.56053215106941</v>
      </c>
      <c r="F4" s="5">
        <f>SUM(D4-C4)</f>
        <v>-376.08889999999974</v>
      </c>
    </row>
    <row r="5" spans="1:6" s="6" customFormat="1">
      <c r="A5" s="68">
        <v>1010000000</v>
      </c>
      <c r="B5" s="67" t="s">
        <v>5</v>
      </c>
      <c r="C5" s="5">
        <f>C6</f>
        <v>115.4</v>
      </c>
      <c r="D5" s="5">
        <f>D6</f>
        <v>106.57025</v>
      </c>
      <c r="E5" s="5">
        <f t="shared" ref="E5:E50" si="0">SUM(D5/C5*100)</f>
        <v>92.34857019064124</v>
      </c>
      <c r="F5" s="5">
        <f t="shared" ref="F5:F50" si="1">SUM(D5-C5)</f>
        <v>-8.8297500000000042</v>
      </c>
    </row>
    <row r="6" spans="1:6">
      <c r="A6" s="7">
        <v>1010200001</v>
      </c>
      <c r="B6" s="8" t="s">
        <v>224</v>
      </c>
      <c r="C6" s="9">
        <v>115.4</v>
      </c>
      <c r="D6" s="10">
        <v>106.57025</v>
      </c>
      <c r="E6" s="9">
        <f t="shared" ref="E6:E11" si="2">SUM(D6/C6*100)</f>
        <v>92.34857019064124</v>
      </c>
      <c r="F6" s="9">
        <f t="shared" si="1"/>
        <v>-8.8297500000000042</v>
      </c>
    </row>
    <row r="7" spans="1:6" ht="31.5">
      <c r="A7" s="3">
        <v>1030000000</v>
      </c>
      <c r="B7" s="13" t="s">
        <v>266</v>
      </c>
      <c r="C7" s="5">
        <f>C8+C10+C9</f>
        <v>609.93999999999994</v>
      </c>
      <c r="D7" s="233">
        <f>D8+D10+D9+D11</f>
        <v>531.97121000000016</v>
      </c>
      <c r="E7" s="5">
        <f t="shared" si="2"/>
        <v>87.216973800701751</v>
      </c>
      <c r="F7" s="5">
        <f t="shared" si="1"/>
        <v>-77.968789999999785</v>
      </c>
    </row>
    <row r="8" spans="1:6">
      <c r="A8" s="7">
        <v>1030223001</v>
      </c>
      <c r="B8" s="8" t="s">
        <v>268</v>
      </c>
      <c r="C8" s="9">
        <v>227.51</v>
      </c>
      <c r="D8" s="10">
        <v>245.07113000000001</v>
      </c>
      <c r="E8" s="9">
        <f t="shared" si="2"/>
        <v>107.71883873236344</v>
      </c>
      <c r="F8" s="9">
        <f t="shared" si="1"/>
        <v>17.56113000000002</v>
      </c>
    </row>
    <row r="9" spans="1:6">
      <c r="A9" s="7">
        <v>1030224001</v>
      </c>
      <c r="B9" s="8" t="s">
        <v>274</v>
      </c>
      <c r="C9" s="9">
        <v>2.4300000000000002</v>
      </c>
      <c r="D9" s="10">
        <v>1.7582199999999999</v>
      </c>
      <c r="E9" s="9">
        <f t="shared" si="2"/>
        <v>72.354732510288059</v>
      </c>
      <c r="F9" s="9">
        <f t="shared" si="1"/>
        <v>-0.67178000000000027</v>
      </c>
    </row>
    <row r="10" spans="1:6">
      <c r="A10" s="7">
        <v>1030225001</v>
      </c>
      <c r="B10" s="8" t="s">
        <v>267</v>
      </c>
      <c r="C10" s="9">
        <v>380</v>
      </c>
      <c r="D10" s="10">
        <v>329.28417000000002</v>
      </c>
      <c r="E10" s="9">
        <f t="shared" si="2"/>
        <v>86.653728947368421</v>
      </c>
      <c r="F10" s="9">
        <f t="shared" si="1"/>
        <v>-50.715829999999983</v>
      </c>
    </row>
    <row r="11" spans="1:6">
      <c r="A11" s="7">
        <v>1030226001</v>
      </c>
      <c r="B11" s="8" t="s">
        <v>276</v>
      </c>
      <c r="C11" s="9">
        <v>0</v>
      </c>
      <c r="D11" s="10">
        <v>-44.142310000000002</v>
      </c>
      <c r="E11" s="9" t="e">
        <f t="shared" si="2"/>
        <v>#DIV/0!</v>
      </c>
      <c r="F11" s="9">
        <f t="shared" si="1"/>
        <v>-44.142310000000002</v>
      </c>
    </row>
    <row r="12" spans="1:6" s="6" customFormat="1">
      <c r="A12" s="68">
        <v>1050000000</v>
      </c>
      <c r="B12" s="67" t="s">
        <v>6</v>
      </c>
      <c r="C12" s="5">
        <f>SUM(C13:C13)</f>
        <v>49.012</v>
      </c>
      <c r="D12" s="5">
        <f>SUM(D13:D13)</f>
        <v>179.63220999999999</v>
      </c>
      <c r="E12" s="5">
        <f t="shared" si="0"/>
        <v>366.50659022280252</v>
      </c>
      <c r="F12" s="5">
        <f t="shared" si="1"/>
        <v>130.62020999999999</v>
      </c>
    </row>
    <row r="13" spans="1:6" ht="15.75" customHeight="1">
      <c r="A13" s="7">
        <v>1050300000</v>
      </c>
      <c r="B13" s="11" t="s">
        <v>225</v>
      </c>
      <c r="C13" s="12">
        <v>49.012</v>
      </c>
      <c r="D13" s="10">
        <v>179.63220999999999</v>
      </c>
      <c r="E13" s="9">
        <f t="shared" si="0"/>
        <v>366.50659022280252</v>
      </c>
      <c r="F13" s="9">
        <f t="shared" si="1"/>
        <v>130.62020999999999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2239</v>
      </c>
      <c r="D14" s="5">
        <f>D15+D16</f>
        <v>1826.08943</v>
      </c>
      <c r="E14" s="5">
        <f t="shared" si="0"/>
        <v>81.558259490844137</v>
      </c>
      <c r="F14" s="5">
        <f t="shared" si="1"/>
        <v>-412.91057000000001</v>
      </c>
    </row>
    <row r="15" spans="1:6" s="6" customFormat="1" ht="15.75" customHeight="1">
      <c r="A15" s="7">
        <v>1060100000</v>
      </c>
      <c r="B15" s="11" t="s">
        <v>8</v>
      </c>
      <c r="C15" s="9">
        <v>260</v>
      </c>
      <c r="D15" s="10">
        <v>181.21019000000001</v>
      </c>
      <c r="E15" s="9">
        <f t="shared" si="0"/>
        <v>69.696226923076935</v>
      </c>
      <c r="F15" s="9">
        <f>SUM(D15-C15)</f>
        <v>-78.789809999999989</v>
      </c>
    </row>
    <row r="16" spans="1:6" ht="15.75" customHeight="1">
      <c r="A16" s="7">
        <v>1060600000</v>
      </c>
      <c r="B16" s="11" t="s">
        <v>7</v>
      </c>
      <c r="C16" s="9">
        <v>1979</v>
      </c>
      <c r="D16" s="10">
        <v>1644.87924</v>
      </c>
      <c r="E16" s="9">
        <f t="shared" si="0"/>
        <v>83.116687215765538</v>
      </c>
      <c r="F16" s="9">
        <f t="shared" si="1"/>
        <v>-334.12076000000002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</v>
      </c>
      <c r="E17" s="5">
        <f t="shared" si="0"/>
        <v>30</v>
      </c>
      <c r="F17" s="5">
        <f t="shared" si="1"/>
        <v>-7</v>
      </c>
    </row>
    <row r="18" spans="1:6" ht="15" customHeight="1">
      <c r="A18" s="7">
        <v>1080400001</v>
      </c>
      <c r="B18" s="8" t="s">
        <v>223</v>
      </c>
      <c r="C18" s="9">
        <v>10</v>
      </c>
      <c r="D18" s="10">
        <v>3</v>
      </c>
      <c r="E18" s="9">
        <f t="shared" si="0"/>
        <v>30</v>
      </c>
      <c r="F18" s="9">
        <f t="shared" si="1"/>
        <v>-7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472.8</v>
      </c>
      <c r="D25" s="5">
        <f>D26+D29+D31+D34+D36</f>
        <v>735.59371999999996</v>
      </c>
      <c r="E25" s="5">
        <f t="shared" si="0"/>
        <v>155.58242808798644</v>
      </c>
      <c r="F25" s="5">
        <f t="shared" si="1"/>
        <v>262.79371999999995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432.8</v>
      </c>
      <c r="D26" s="5">
        <f>D27+D28</f>
        <v>708.02315999999996</v>
      </c>
      <c r="E26" s="5">
        <f t="shared" si="0"/>
        <v>163.59130314232902</v>
      </c>
      <c r="F26" s="5">
        <f t="shared" si="1"/>
        <v>275.22315999999995</v>
      </c>
    </row>
    <row r="27" spans="1:6">
      <c r="A27" s="16">
        <v>1110502510</v>
      </c>
      <c r="B27" s="17" t="s">
        <v>221</v>
      </c>
      <c r="C27" s="12">
        <v>353.3</v>
      </c>
      <c r="D27" s="10">
        <v>674.42188999999996</v>
      </c>
      <c r="E27" s="9">
        <f t="shared" si="0"/>
        <v>190.89212850268891</v>
      </c>
      <c r="F27" s="9">
        <f t="shared" si="1"/>
        <v>321.12188999999995</v>
      </c>
    </row>
    <row r="28" spans="1:6">
      <c r="A28" s="7">
        <v>1110503510</v>
      </c>
      <c r="B28" s="11" t="s">
        <v>220</v>
      </c>
      <c r="C28" s="12">
        <v>79.5</v>
      </c>
      <c r="D28" s="10">
        <v>33.60127</v>
      </c>
      <c r="E28" s="9">
        <f t="shared" si="0"/>
        <v>42.265748427672953</v>
      </c>
      <c r="F28" s="9">
        <f t="shared" si="1"/>
        <v>-45.89873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40</v>
      </c>
      <c r="D29" s="5">
        <f>D30</f>
        <v>19.821079999999998</v>
      </c>
      <c r="E29" s="5">
        <f t="shared" si="0"/>
        <v>49.552699999999994</v>
      </c>
      <c r="F29" s="5">
        <f t="shared" si="1"/>
        <v>-20.178920000000002</v>
      </c>
    </row>
    <row r="30" spans="1:6" ht="21" customHeight="1">
      <c r="A30" s="7">
        <v>1130206510</v>
      </c>
      <c r="B30" s="8" t="s">
        <v>14</v>
      </c>
      <c r="C30" s="9">
        <v>40</v>
      </c>
      <c r="D30" s="10">
        <v>19.821079999999998</v>
      </c>
      <c r="E30" s="9">
        <f t="shared" si="0"/>
        <v>49.552699999999994</v>
      </c>
      <c r="F30" s="9">
        <f t="shared" si="1"/>
        <v>-20.178920000000002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3.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.7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9">
        <f>C35</f>
        <v>0</v>
      </c>
      <c r="D34" s="14">
        <f>D35</f>
        <v>7.7494800000000001</v>
      </c>
      <c r="E34" s="9" t="e">
        <f t="shared" si="0"/>
        <v>#DIV/0!</v>
      </c>
      <c r="F34" s="9">
        <f t="shared" si="1"/>
        <v>7.7494800000000001</v>
      </c>
    </row>
    <row r="35" spans="1:7">
      <c r="A35" s="7">
        <v>1160700000</v>
      </c>
      <c r="B35" s="8"/>
      <c r="C35" s="9"/>
      <c r="D35" s="10">
        <v>7.7494800000000001</v>
      </c>
      <c r="E35" s="9" t="e">
        <f t="shared" si="0"/>
        <v>#DIV/0!</v>
      </c>
      <c r="F35" s="9">
        <f t="shared" si="1"/>
        <v>7.7494800000000001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7">
        <f>SUM(C4,C25)</f>
        <v>3496.152</v>
      </c>
      <c r="D39" s="127">
        <f>SUM(D4,D25)</f>
        <v>3382.85682</v>
      </c>
      <c r="E39" s="5">
        <f t="shared" si="0"/>
        <v>96.75943208418856</v>
      </c>
      <c r="F39" s="5">
        <f t="shared" si="1"/>
        <v>-113.29518000000007</v>
      </c>
    </row>
    <row r="40" spans="1:7" s="6" customFormat="1">
      <c r="A40" s="3">
        <v>2000000000</v>
      </c>
      <c r="B40" s="4" t="s">
        <v>17</v>
      </c>
      <c r="C40" s="233">
        <f>C41+C43+C44+C45+C46+C47+C48+C42</f>
        <v>5207.5140000000001</v>
      </c>
      <c r="D40" s="233">
        <f>SUM(D41:D48)</f>
        <v>5199.5951000000005</v>
      </c>
      <c r="E40" s="5">
        <f t="shared" si="0"/>
        <v>99.847933198067267</v>
      </c>
      <c r="F40" s="5">
        <f t="shared" si="1"/>
        <v>-7.9188999999996668</v>
      </c>
      <c r="G40" s="19"/>
    </row>
    <row r="41" spans="1:7" ht="15" customHeight="1">
      <c r="A41" s="16">
        <v>2021000000</v>
      </c>
      <c r="B41" s="17" t="s">
        <v>18</v>
      </c>
      <c r="C41" s="12">
        <v>415.4</v>
      </c>
      <c r="D41" s="254">
        <v>380.77710000000002</v>
      </c>
      <c r="E41" s="9">
        <f t="shared" si="0"/>
        <v>91.665166104959084</v>
      </c>
      <c r="F41" s="9">
        <f t="shared" si="1"/>
        <v>-34.622899999999959</v>
      </c>
    </row>
    <row r="42" spans="1:7" ht="1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3686.98</v>
      </c>
      <c r="D43" s="10">
        <v>3529.9259999999999</v>
      </c>
      <c r="E43" s="9">
        <f t="shared" si="0"/>
        <v>95.740307785775897</v>
      </c>
      <c r="F43" s="9">
        <f t="shared" si="1"/>
        <v>-157.05400000000009</v>
      </c>
    </row>
    <row r="44" spans="1:7" ht="18.75" customHeight="1">
      <c r="A44" s="16">
        <v>2023000000</v>
      </c>
      <c r="B44" s="17" t="s">
        <v>20</v>
      </c>
      <c r="C44" s="12">
        <v>99.183999999999997</v>
      </c>
      <c r="D44" s="187">
        <v>90.341999999999999</v>
      </c>
      <c r="E44" s="9">
        <f t="shared" si="0"/>
        <v>91.085255686401041</v>
      </c>
      <c r="F44" s="9">
        <f t="shared" si="1"/>
        <v>-8.8419999999999987</v>
      </c>
    </row>
    <row r="45" spans="1:7" ht="17.25" customHeight="1">
      <c r="A45" s="16">
        <v>2024000000</v>
      </c>
      <c r="B45" s="17" t="s">
        <v>21</v>
      </c>
      <c r="C45" s="12">
        <v>1005.95</v>
      </c>
      <c r="D45" s="188">
        <v>1005.95</v>
      </c>
      <c r="E45" s="9">
        <f t="shared" si="0"/>
        <v>100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22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6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288</v>
      </c>
      <c r="C48" s="10"/>
      <c r="D48" s="10">
        <v>192.6</v>
      </c>
      <c r="E48" s="9" t="e">
        <f>SUM(D48/C48*100)</f>
        <v>#DIV/0!</v>
      </c>
      <c r="F48" s="9">
        <f>SUM(D48-C48)</f>
        <v>192.6</v>
      </c>
    </row>
    <row r="49" spans="1:8" s="6" customFormat="1" ht="16.5" customHeight="1">
      <c r="A49" s="244">
        <v>2190000010</v>
      </c>
      <c r="B49" s="245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93">
        <f>C39+C40</f>
        <v>8703.6660000000011</v>
      </c>
      <c r="D50" s="469">
        <f>D39+D40</f>
        <v>8582.4519199999995</v>
      </c>
      <c r="E50" s="5">
        <f t="shared" si="0"/>
        <v>98.607321558524859</v>
      </c>
      <c r="F50" s="5">
        <f t="shared" si="1"/>
        <v>-121.21408000000156</v>
      </c>
      <c r="G50" s="94"/>
      <c r="H50" s="259"/>
    </row>
    <row r="51" spans="1:8" s="6" customFormat="1">
      <c r="A51" s="3"/>
      <c r="B51" s="21" t="s">
        <v>306</v>
      </c>
      <c r="C51" s="93">
        <f>C50-C97</f>
        <v>-337.53988999999819</v>
      </c>
      <c r="D51" s="93">
        <f>D50-D97</f>
        <v>579.51407999999901</v>
      </c>
      <c r="E51" s="22"/>
      <c r="F51" s="22"/>
    </row>
    <row r="52" spans="1:8">
      <c r="A52" s="23"/>
      <c r="B52" s="24"/>
      <c r="C52" s="241"/>
      <c r="D52" s="241" t="s">
        <v>320</v>
      </c>
      <c r="E52" s="26"/>
      <c r="F52" s="92"/>
    </row>
    <row r="53" spans="1:8" ht="42.75" customHeight="1">
      <c r="A53" s="28" t="s">
        <v>0</v>
      </c>
      <c r="B53" s="28" t="s">
        <v>26</v>
      </c>
      <c r="C53" s="179" t="s">
        <v>398</v>
      </c>
      <c r="D53" s="180" t="s">
        <v>416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27</v>
      </c>
      <c r="B55" s="31" t="s">
        <v>28</v>
      </c>
      <c r="C55" s="182">
        <f>C56+C57+C58+C59+C60+C62+C61</f>
        <v>1532.4279999999999</v>
      </c>
      <c r="D55" s="32">
        <f>D56+D57+D58+D59+D60+D62+D61</f>
        <v>1204.0875100000001</v>
      </c>
      <c r="E55" s="34">
        <f>SUM(D55/C55*100)</f>
        <v>78.573839031915369</v>
      </c>
      <c r="F55" s="34">
        <f>SUM(D55-C55)</f>
        <v>-328.34048999999982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1474.8</v>
      </c>
      <c r="D57" s="37">
        <v>1167.0875100000001</v>
      </c>
      <c r="E57" s="34">
        <f>SUM(D57/C57*100)</f>
        <v>79.135307160292925</v>
      </c>
      <c r="F57" s="38">
        <f t="shared" ref="F57:F97" si="3">SUM(D57-C57)</f>
        <v>-307.71248999999989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>
        <v>30</v>
      </c>
      <c r="D60" s="37">
        <v>30</v>
      </c>
      <c r="E60" s="38">
        <f t="shared" ref="E60:E97" si="4">SUM(D60/C60*100)</f>
        <v>100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41</v>
      </c>
      <c r="B62" s="39" t="s">
        <v>42</v>
      </c>
      <c r="C62" s="37">
        <v>22.628</v>
      </c>
      <c r="D62" s="37">
        <v>7</v>
      </c>
      <c r="E62" s="38">
        <f t="shared" si="4"/>
        <v>30.935124624359201</v>
      </c>
      <c r="F62" s="38">
        <f t="shared" si="3"/>
        <v>-15.628</v>
      </c>
    </row>
    <row r="63" spans="1:8" s="6" customFormat="1">
      <c r="A63" s="41" t="s">
        <v>43</v>
      </c>
      <c r="B63" s="42" t="s">
        <v>44</v>
      </c>
      <c r="C63" s="32">
        <f>C64</f>
        <v>99.183999999999997</v>
      </c>
      <c r="D63" s="32">
        <f>D64</f>
        <v>61.895859999999999</v>
      </c>
      <c r="E63" s="34">
        <f t="shared" si="4"/>
        <v>62.40508549766092</v>
      </c>
      <c r="F63" s="34">
        <f t="shared" si="3"/>
        <v>-37.288139999999999</v>
      </c>
    </row>
    <row r="64" spans="1:8">
      <c r="A64" s="43" t="s">
        <v>45</v>
      </c>
      <c r="B64" s="44" t="s">
        <v>46</v>
      </c>
      <c r="C64" s="37">
        <v>99.183999999999997</v>
      </c>
      <c r="D64" s="37">
        <v>61.895859999999999</v>
      </c>
      <c r="E64" s="38">
        <f t="shared" si="4"/>
        <v>62.40508549766092</v>
      </c>
      <c r="F64" s="38">
        <f t="shared" si="3"/>
        <v>-37.288139999999999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61.57</v>
      </c>
      <c r="D65" s="32">
        <f>SUM(D68+D69+D70)</f>
        <v>43.14725</v>
      </c>
      <c r="E65" s="34">
        <f t="shared" si="4"/>
        <v>70.078366087380218</v>
      </c>
      <c r="F65" s="34">
        <f t="shared" si="3"/>
        <v>-18.422750000000001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9.5" customHeight="1">
      <c r="A68" s="46" t="s">
        <v>53</v>
      </c>
      <c r="B68" s="47" t="s">
        <v>54</v>
      </c>
      <c r="C68" s="37">
        <v>30.222000000000001</v>
      </c>
      <c r="D68" s="37">
        <v>24</v>
      </c>
      <c r="E68" s="34">
        <f t="shared" si="4"/>
        <v>79.412348620210437</v>
      </c>
      <c r="F68" s="34">
        <f t="shared" si="3"/>
        <v>-6.2220000000000013</v>
      </c>
    </row>
    <row r="69" spans="1:7">
      <c r="A69" s="46" t="s">
        <v>214</v>
      </c>
      <c r="B69" s="47" t="s">
        <v>215</v>
      </c>
      <c r="C69" s="37">
        <v>29.347999999999999</v>
      </c>
      <c r="D69" s="37">
        <v>19.14725</v>
      </c>
      <c r="E69" s="34">
        <f t="shared" si="4"/>
        <v>65.242094861660078</v>
      </c>
      <c r="F69" s="34">
        <f t="shared" si="3"/>
        <v>-10.200749999999999</v>
      </c>
    </row>
    <row r="70" spans="1:7">
      <c r="A70" s="46" t="s">
        <v>336</v>
      </c>
      <c r="B70" s="47" t="s">
        <v>391</v>
      </c>
      <c r="C70" s="37">
        <v>2</v>
      </c>
      <c r="D70" s="37">
        <v>0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1712.37789</v>
      </c>
      <c r="D71" s="48">
        <f>SUM(D72:D75)</f>
        <v>1459.1131300000002</v>
      </c>
      <c r="E71" s="34">
        <f t="shared" si="4"/>
        <v>85.209762314789074</v>
      </c>
      <c r="F71" s="34">
        <f t="shared" si="3"/>
        <v>-253.2647599999998</v>
      </c>
    </row>
    <row r="72" spans="1:7">
      <c r="A72" s="35" t="s">
        <v>57</v>
      </c>
      <c r="B72" s="39" t="s">
        <v>58</v>
      </c>
      <c r="C72" s="49"/>
      <c r="D72" s="37">
        <v>0</v>
      </c>
      <c r="E72" s="38" t="e">
        <f t="shared" si="4"/>
        <v>#DIV/0!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1627.1778899999999</v>
      </c>
      <c r="D74" s="37">
        <v>1383.2131300000001</v>
      </c>
      <c r="E74" s="38">
        <f t="shared" si="4"/>
        <v>85.006878381318231</v>
      </c>
      <c r="F74" s="38">
        <f t="shared" si="3"/>
        <v>-243.96475999999984</v>
      </c>
    </row>
    <row r="75" spans="1:7">
      <c r="A75" s="35" t="s">
        <v>63</v>
      </c>
      <c r="B75" s="39" t="s">
        <v>64</v>
      </c>
      <c r="C75" s="49">
        <v>85.2</v>
      </c>
      <c r="D75" s="37">
        <v>75.900000000000006</v>
      </c>
      <c r="E75" s="38">
        <f t="shared" si="4"/>
        <v>89.08450704225352</v>
      </c>
      <c r="F75" s="38">
        <f t="shared" si="3"/>
        <v>-9.2999999999999972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4568.1459999999997</v>
      </c>
      <c r="D76" s="32">
        <f>SUM(D77:D79)</f>
        <v>4346.2940900000003</v>
      </c>
      <c r="E76" s="34">
        <f t="shared" si="4"/>
        <v>95.143502199798363</v>
      </c>
      <c r="F76" s="34">
        <f t="shared" si="3"/>
        <v>-221.85190999999941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4.25" customHeight="1">
      <c r="A78" s="35" t="s">
        <v>69</v>
      </c>
      <c r="B78" s="51" t="s">
        <v>70</v>
      </c>
      <c r="C78" s="37">
        <v>3434.8359999999998</v>
      </c>
      <c r="D78" s="37">
        <v>3391.93244</v>
      </c>
      <c r="E78" s="38">
        <f t="shared" si="4"/>
        <v>98.750928428606215</v>
      </c>
      <c r="F78" s="38">
        <f t="shared" si="3"/>
        <v>-42.903559999999743</v>
      </c>
    </row>
    <row r="79" spans="1:7">
      <c r="A79" s="35" t="s">
        <v>71</v>
      </c>
      <c r="B79" s="39" t="s">
        <v>72</v>
      </c>
      <c r="C79" s="37">
        <v>1133.31</v>
      </c>
      <c r="D79" s="37">
        <v>954.36165000000005</v>
      </c>
      <c r="E79" s="38">
        <f t="shared" si="4"/>
        <v>84.210114620006891</v>
      </c>
      <c r="F79" s="38">
        <f t="shared" si="3"/>
        <v>-178.94834999999989</v>
      </c>
    </row>
    <row r="80" spans="1:7" s="6" customFormat="1">
      <c r="A80" s="30" t="s">
        <v>83</v>
      </c>
      <c r="B80" s="31" t="s">
        <v>84</v>
      </c>
      <c r="C80" s="32">
        <f>C81</f>
        <v>1065.5</v>
      </c>
      <c r="D80" s="32">
        <f>SUM(D81)</f>
        <v>886.4</v>
      </c>
      <c r="E80" s="34">
        <f t="shared" si="4"/>
        <v>83.190990145471616</v>
      </c>
      <c r="F80" s="34">
        <f t="shared" si="3"/>
        <v>-179.10000000000002</v>
      </c>
    </row>
    <row r="81" spans="1:6" ht="15.75" customHeight="1">
      <c r="A81" s="35" t="s">
        <v>85</v>
      </c>
      <c r="B81" s="39" t="s">
        <v>229</v>
      </c>
      <c r="C81" s="37">
        <v>1065.5</v>
      </c>
      <c r="D81" s="37">
        <v>886.4</v>
      </c>
      <c r="E81" s="38">
        <f t="shared" si="4"/>
        <v>83.190990145471616</v>
      </c>
      <c r="F81" s="38">
        <f t="shared" si="3"/>
        <v>-179.10000000000002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2</v>
      </c>
      <c r="D87" s="32">
        <f>D88+D89+D90+D91+D92</f>
        <v>2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94</v>
      </c>
      <c r="B88" s="39" t="s">
        <v>95</v>
      </c>
      <c r="C88" s="37">
        <v>2</v>
      </c>
      <c r="D88" s="37">
        <v>2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455">
        <f>C55+C63+C71+C76+C80+C82+C87+C65+C93</f>
        <v>9041.2058899999993</v>
      </c>
      <c r="D97" s="455">
        <f>D55+D63+D71+D76+D80+D82+D87+D65+D93</f>
        <v>8002.9378400000005</v>
      </c>
      <c r="E97" s="34">
        <f t="shared" si="4"/>
        <v>88.516265831880105</v>
      </c>
      <c r="F97" s="34">
        <f t="shared" si="3"/>
        <v>-1038.2680499999988</v>
      </c>
      <c r="G97" s="200"/>
      <c r="H97" s="200"/>
    </row>
    <row r="98" spans="1:8">
      <c r="C98" s="126"/>
      <c r="D98" s="101"/>
    </row>
    <row r="99" spans="1:8" s="65" customFormat="1" ht="16.5" customHeight="1">
      <c r="A99" s="63" t="s">
        <v>117</v>
      </c>
      <c r="B99" s="63"/>
      <c r="C99" s="185"/>
      <c r="D99" s="185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20"/>
    </row>
    <row r="103" spans="1:8" ht="5.25" customHeight="1"/>
    <row r="142" hidden="1"/>
  </sheetData>
  <customSheetViews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1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5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6"/>
    </customSheetView>
    <customSheetView guid="{B30CE22D-C12F-4E12-8BB9-3AAE0A6991CC}" scale="70" showPageBreaks="1" printArea="1" hiddenRows="1" view="pageBreakPreview" topLeftCell="A43">
      <selection activeCell="D69" sqref="D69"/>
      <pageMargins left="0.70866141732283472" right="0.70866141732283472" top="0.74803149606299213" bottom="0.74803149606299213" header="0.31496062992125984" footer="0.31496062992125984"/>
      <pageSetup paperSize="9" scale="56" orientation="portrait" r:id="rId7"/>
    </customSheetView>
    <customSheetView guid="{1718F1EE-9F48-4DBE-9531-3B70F9C4A5DD}" scale="70" showPageBreaks="1" printArea="1" hiddenRows="1" view="pageBreakPreview" topLeftCell="A37">
      <selection activeCell="D97" sqref="D97"/>
      <pageMargins left="0.7" right="0.7" top="0.75" bottom="0.75" header="0.3" footer="0.3"/>
      <pageSetup paperSize="9" scale="43" orientation="portrait" r:id="rId8"/>
    </customSheetView>
    <customSheetView guid="{61528DAC-5C4C-48F4-ADE2-8A724B05A086}" scale="70" showPageBreaks="1" printArea="1" hiddenRows="1" view="pageBreakPreview" topLeftCell="A47">
      <selection activeCell="C88" sqref="C88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4"/>
  <sheetViews>
    <sheetView view="pageBreakPreview" topLeftCell="A43" zoomScale="70" zoomScaleSheetLayoutView="70" workbookViewId="0">
      <selection activeCell="D54" sqref="D54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71093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6" t="s">
        <v>434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1147.43</v>
      </c>
      <c r="D4" s="5">
        <f>D5+D12+D14+D17+D7</f>
        <v>982.71952999999996</v>
      </c>
      <c r="E4" s="5">
        <f>SUM(D4/C4*100)</f>
        <v>85.645270735469694</v>
      </c>
      <c r="F4" s="5">
        <f>SUM(D4-C4)</f>
        <v>-164.7104700000001</v>
      </c>
    </row>
    <row r="5" spans="1:6" s="6" customFormat="1">
      <c r="A5" s="68">
        <v>1010000000</v>
      </c>
      <c r="B5" s="67" t="s">
        <v>5</v>
      </c>
      <c r="C5" s="5">
        <f>C6</f>
        <v>146.4</v>
      </c>
      <c r="D5" s="5">
        <f>D6</f>
        <v>130.80641</v>
      </c>
      <c r="E5" s="5">
        <f t="shared" ref="E5:E54" si="0">SUM(D5/C5*100)</f>
        <v>89.348640710382512</v>
      </c>
      <c r="F5" s="5">
        <f t="shared" ref="F5:F54" si="1">SUM(D5-C5)</f>
        <v>-15.593590000000006</v>
      </c>
    </row>
    <row r="6" spans="1:6">
      <c r="A6" s="7">
        <v>1010200001</v>
      </c>
      <c r="B6" s="8" t="s">
        <v>224</v>
      </c>
      <c r="C6" s="9">
        <v>146.4</v>
      </c>
      <c r="D6" s="10">
        <v>130.80641</v>
      </c>
      <c r="E6" s="9">
        <f t="shared" ref="E6:E11" si="2">SUM(D6/C6*100)</f>
        <v>89.348640710382512</v>
      </c>
      <c r="F6" s="9">
        <f t="shared" si="1"/>
        <v>-15.593590000000006</v>
      </c>
    </row>
    <row r="7" spans="1:6" ht="31.5">
      <c r="A7" s="3">
        <v>1030000000</v>
      </c>
      <c r="B7" s="13" t="s">
        <v>266</v>
      </c>
      <c r="C7" s="5">
        <f>C8+C10+C9</f>
        <v>554.03000000000009</v>
      </c>
      <c r="D7" s="5">
        <f>D8+D10+D9+D11</f>
        <v>483.20716999999991</v>
      </c>
      <c r="E7" s="5">
        <f t="shared" si="2"/>
        <v>87.216787899572196</v>
      </c>
      <c r="F7" s="5">
        <f t="shared" si="1"/>
        <v>-70.822830000000181</v>
      </c>
    </row>
    <row r="8" spans="1:6">
      <c r="A8" s="7">
        <v>1030223001</v>
      </c>
      <c r="B8" s="8" t="s">
        <v>268</v>
      </c>
      <c r="C8" s="9">
        <v>206.65</v>
      </c>
      <c r="D8" s="10">
        <v>222.60625999999999</v>
      </c>
      <c r="E8" s="9">
        <f t="shared" si="2"/>
        <v>107.72139366077909</v>
      </c>
      <c r="F8" s="9">
        <f t="shared" si="1"/>
        <v>15.956259999999986</v>
      </c>
    </row>
    <row r="9" spans="1:6">
      <c r="A9" s="7">
        <v>1030224001</v>
      </c>
      <c r="B9" s="8" t="s">
        <v>274</v>
      </c>
      <c r="C9" s="9">
        <v>2.2200000000000002</v>
      </c>
      <c r="D9" s="10">
        <v>1.5970500000000001</v>
      </c>
      <c r="E9" s="9">
        <f t="shared" si="2"/>
        <v>71.939189189189193</v>
      </c>
      <c r="F9" s="9">
        <f t="shared" si="1"/>
        <v>-0.62295000000000011</v>
      </c>
    </row>
    <row r="10" spans="1:6">
      <c r="A10" s="7">
        <v>1030225001</v>
      </c>
      <c r="B10" s="8" t="s">
        <v>267</v>
      </c>
      <c r="C10" s="9">
        <v>345.16</v>
      </c>
      <c r="D10" s="10">
        <v>299.09976999999998</v>
      </c>
      <c r="E10" s="9">
        <f t="shared" si="2"/>
        <v>86.655397496813052</v>
      </c>
      <c r="F10" s="9">
        <f t="shared" si="1"/>
        <v>-46.060230000000047</v>
      </c>
    </row>
    <row r="11" spans="1:6">
      <c r="A11" s="7">
        <v>1030226001</v>
      </c>
      <c r="B11" s="8" t="s">
        <v>276</v>
      </c>
      <c r="C11" s="9">
        <v>0</v>
      </c>
      <c r="D11" s="10">
        <v>-40.095910000000003</v>
      </c>
      <c r="E11" s="9" t="e">
        <f t="shared" si="2"/>
        <v>#DIV/0!</v>
      </c>
      <c r="F11" s="9">
        <f t="shared" si="1"/>
        <v>-40.095910000000003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0</v>
      </c>
      <c r="E12" s="5">
        <f t="shared" si="0"/>
        <v>0</v>
      </c>
      <c r="F12" s="5">
        <f t="shared" si="1"/>
        <v>-5</v>
      </c>
    </row>
    <row r="13" spans="1:6" ht="15.75" customHeight="1">
      <c r="A13" s="7">
        <v>1050300000</v>
      </c>
      <c r="B13" s="11" t="s">
        <v>225</v>
      </c>
      <c r="C13" s="12">
        <v>5</v>
      </c>
      <c r="D13" s="10">
        <v>0</v>
      </c>
      <c r="E13" s="9">
        <f t="shared" si="0"/>
        <v>0</v>
      </c>
      <c r="F13" s="9">
        <f t="shared" si="1"/>
        <v>-5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432</v>
      </c>
      <c r="D14" s="5">
        <f>D15+D16</f>
        <v>365.60595000000001</v>
      </c>
      <c r="E14" s="5">
        <f t="shared" si="0"/>
        <v>84.631006944444437</v>
      </c>
      <c r="F14" s="5">
        <f t="shared" si="1"/>
        <v>-66.394049999999993</v>
      </c>
    </row>
    <row r="15" spans="1:6" s="6" customFormat="1" ht="15.75" customHeight="1">
      <c r="A15" s="7">
        <v>1060100000</v>
      </c>
      <c r="B15" s="11" t="s">
        <v>8</v>
      </c>
      <c r="C15" s="9">
        <v>120</v>
      </c>
      <c r="D15" s="10">
        <v>98.911159999999995</v>
      </c>
      <c r="E15" s="9">
        <f t="shared" si="0"/>
        <v>82.425966666666667</v>
      </c>
      <c r="F15" s="9">
        <f>SUM(D15-C15)</f>
        <v>-21.088840000000005</v>
      </c>
    </row>
    <row r="16" spans="1:6" ht="15.75" customHeight="1">
      <c r="A16" s="7">
        <v>1060600000</v>
      </c>
      <c r="B16" s="11" t="s">
        <v>7</v>
      </c>
      <c r="C16" s="9">
        <v>312</v>
      </c>
      <c r="D16" s="10">
        <v>266.69479000000001</v>
      </c>
      <c r="E16" s="9">
        <f t="shared" si="0"/>
        <v>85.479099358974366</v>
      </c>
      <c r="F16" s="9">
        <f t="shared" si="1"/>
        <v>-45.305209999999988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3.1</v>
      </c>
      <c r="E17" s="5">
        <f t="shared" si="0"/>
        <v>31</v>
      </c>
      <c r="F17" s="5">
        <f t="shared" si="1"/>
        <v>-6.9</v>
      </c>
    </row>
    <row r="18" spans="1:6" ht="17.25" customHeight="1">
      <c r="A18" s="7">
        <v>1080400001</v>
      </c>
      <c r="B18" s="8" t="s">
        <v>257</v>
      </c>
      <c r="C18" s="9">
        <v>10</v>
      </c>
      <c r="D18" s="10">
        <v>3.1</v>
      </c>
      <c r="E18" s="9">
        <f t="shared" si="0"/>
        <v>31</v>
      </c>
      <c r="F18" s="9">
        <f t="shared" si="1"/>
        <v>-6.9</v>
      </c>
    </row>
    <row r="19" spans="1:6" ht="49.5" hidden="1" customHeight="1">
      <c r="A19" s="7">
        <v>1080714001</v>
      </c>
      <c r="B19" s="8" t="s">
        <v>222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362</v>
      </c>
      <c r="D25" s="5">
        <f>D26+D29+D31+D36+D34</f>
        <v>627.61040000000003</v>
      </c>
      <c r="E25" s="5">
        <f t="shared" si="0"/>
        <v>173.37303867403315</v>
      </c>
      <c r="F25" s="5">
        <f t="shared" si="1"/>
        <v>265.61040000000003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55</v>
      </c>
      <c r="D26" s="5">
        <f>D27+D28</f>
        <v>49.5</v>
      </c>
      <c r="E26" s="5">
        <f t="shared" si="0"/>
        <v>90</v>
      </c>
      <c r="F26" s="5">
        <f t="shared" si="1"/>
        <v>-5.5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55</v>
      </c>
      <c r="D28" s="10">
        <v>49.5</v>
      </c>
      <c r="E28" s="9">
        <f t="shared" si="0"/>
        <v>90</v>
      </c>
      <c r="F28" s="9">
        <f t="shared" si="1"/>
        <v>-5.5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100</v>
      </c>
      <c r="D29" s="5">
        <f>D30</f>
        <v>365.02927</v>
      </c>
      <c r="E29" s="5">
        <f t="shared" si="0"/>
        <v>365.02927</v>
      </c>
      <c r="F29" s="5">
        <f t="shared" si="1"/>
        <v>265.02927</v>
      </c>
    </row>
    <row r="30" spans="1:6" ht="15.75" customHeight="1">
      <c r="A30" s="7">
        <v>1130206005</v>
      </c>
      <c r="B30" s="8" t="s">
        <v>14</v>
      </c>
      <c r="C30" s="9">
        <v>100</v>
      </c>
      <c r="D30" s="10">
        <v>365.02927</v>
      </c>
      <c r="E30" s="9">
        <f t="shared" si="0"/>
        <v>365.02927</v>
      </c>
      <c r="F30" s="9">
        <f t="shared" si="1"/>
        <v>265.02927</v>
      </c>
    </row>
    <row r="31" spans="1:6" ht="12" customHeight="1">
      <c r="A31" s="70">
        <v>1140000000</v>
      </c>
      <c r="B31" s="71" t="s">
        <v>129</v>
      </c>
      <c r="C31" s="5">
        <f>C32+C33</f>
        <v>207</v>
      </c>
      <c r="D31" s="5">
        <f>D32+D33</f>
        <v>207.7</v>
      </c>
      <c r="E31" s="5">
        <f t="shared" si="0"/>
        <v>100.33816425120771</v>
      </c>
      <c r="F31" s="5">
        <f t="shared" si="1"/>
        <v>0.69999999999998863</v>
      </c>
    </row>
    <row r="32" spans="1:6" ht="14.25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2.75" customHeight="1">
      <c r="A33" s="7">
        <v>1140600000</v>
      </c>
      <c r="B33" s="8" t="s">
        <v>218</v>
      </c>
      <c r="C33" s="9">
        <v>207</v>
      </c>
      <c r="D33" s="10">
        <v>207.7</v>
      </c>
      <c r="E33" s="9">
        <f t="shared" si="0"/>
        <v>100.33816425120771</v>
      </c>
      <c r="F33" s="9">
        <f t="shared" si="1"/>
        <v>0.69999999999998863</v>
      </c>
    </row>
    <row r="34" spans="1:7" ht="24.75" customHeight="1">
      <c r="A34" s="3">
        <v>1160000000</v>
      </c>
      <c r="B34" s="13" t="s">
        <v>240</v>
      </c>
      <c r="C34" s="9"/>
      <c r="D34" s="10">
        <f>SUM(D35)</f>
        <v>5.3811299999999997</v>
      </c>
      <c r="E34" s="9"/>
      <c r="F34" s="9"/>
    </row>
    <row r="35" spans="1:7" ht="24.75" customHeight="1">
      <c r="A35" s="7">
        <v>1160700001</v>
      </c>
      <c r="B35" s="8" t="s">
        <v>411</v>
      </c>
      <c r="C35" s="9"/>
      <c r="D35" s="10">
        <v>5.3811299999999997</v>
      </c>
      <c r="E35" s="9"/>
      <c r="F35" s="9"/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1170105010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7">
        <f>SUM(C4,C25)</f>
        <v>1509.43</v>
      </c>
      <c r="D39" s="127">
        <f>D4+D25</f>
        <v>1610.3299299999999</v>
      </c>
      <c r="E39" s="5">
        <f t="shared" si="0"/>
        <v>106.68463790967451</v>
      </c>
      <c r="F39" s="5">
        <f t="shared" si="1"/>
        <v>100.89992999999981</v>
      </c>
    </row>
    <row r="40" spans="1:7" s="6" customFormat="1">
      <c r="A40" s="3">
        <v>2000000000</v>
      </c>
      <c r="B40" s="4" t="s">
        <v>17</v>
      </c>
      <c r="C40" s="233">
        <f>SUM(C42+C44+C45+C46+C47+C53+C41+C52)</f>
        <v>10814.79637</v>
      </c>
      <c r="D40" s="5">
        <f>D41+D43+D44+D45+D52+D53+I54+D42</f>
        <v>6964.9023100000004</v>
      </c>
      <c r="E40" s="5">
        <f t="shared" si="0"/>
        <v>64.401603800146262</v>
      </c>
      <c r="F40" s="5">
        <f t="shared" si="1"/>
        <v>-3849.8940599999996</v>
      </c>
      <c r="G40" s="19"/>
    </row>
    <row r="41" spans="1:7" ht="16.5" customHeight="1">
      <c r="A41" s="16">
        <v>2021000000</v>
      </c>
      <c r="B41" s="17" t="s">
        <v>18</v>
      </c>
      <c r="C41" s="12">
        <v>3421</v>
      </c>
      <c r="D41" s="20">
        <v>3135.8580000000002</v>
      </c>
      <c r="E41" s="9">
        <v>0</v>
      </c>
      <c r="F41" s="9">
        <f t="shared" si="1"/>
        <v>-285.14199999999983</v>
      </c>
    </row>
    <row r="42" spans="1:7" ht="14.25" customHeight="1">
      <c r="A42" s="16">
        <v>2020100310</v>
      </c>
      <c r="B42" s="17" t="s">
        <v>227</v>
      </c>
      <c r="C42" s="12">
        <v>500</v>
      </c>
      <c r="D42" s="20">
        <v>500</v>
      </c>
      <c r="E42" s="9">
        <f t="shared" si="0"/>
        <v>100</v>
      </c>
      <c r="F42" s="9">
        <f t="shared" si="1"/>
        <v>0</v>
      </c>
    </row>
    <row r="43" spans="1:7" ht="17.2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13.5" customHeight="1">
      <c r="A44" s="16">
        <v>2022000000</v>
      </c>
      <c r="B44" s="17" t="s">
        <v>19</v>
      </c>
      <c r="C44" s="12">
        <v>5125.4301500000001</v>
      </c>
      <c r="D44" s="10">
        <v>1848.36131</v>
      </c>
      <c r="E44" s="9">
        <f t="shared" si="0"/>
        <v>36.062559744375797</v>
      </c>
      <c r="F44" s="9">
        <f t="shared" si="1"/>
        <v>-3277.0688399999999</v>
      </c>
    </row>
    <row r="45" spans="1:7" ht="17.25" customHeight="1">
      <c r="A45" s="16">
        <v>2023000000</v>
      </c>
      <c r="B45" s="17" t="s">
        <v>20</v>
      </c>
      <c r="C45" s="12">
        <v>198.36600000000001</v>
      </c>
      <c r="D45" s="187">
        <v>180.68299999999999</v>
      </c>
      <c r="E45" s="9">
        <f t="shared" si="0"/>
        <v>91.08566992327313</v>
      </c>
      <c r="F45" s="9">
        <f t="shared" si="1"/>
        <v>-17.683000000000021</v>
      </c>
    </row>
    <row r="46" spans="1:7" ht="18.75" customHeight="1">
      <c r="A46" s="16">
        <v>2020400000</v>
      </c>
      <c r="B46" s="17" t="s">
        <v>21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15" customHeight="1">
      <c r="A47" s="16">
        <v>2020900000</v>
      </c>
      <c r="B47" s="18" t="s">
        <v>22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14.25" customHeight="1">
      <c r="A48" s="124">
        <v>2180000000</v>
      </c>
      <c r="B48" s="125" t="s">
        <v>287</v>
      </c>
      <c r="C48" s="191">
        <f>C49</f>
        <v>0</v>
      </c>
      <c r="D48" s="242">
        <f>D49</f>
        <v>0</v>
      </c>
      <c r="E48" s="9" t="e">
        <f t="shared" si="0"/>
        <v>#DIV/0!</v>
      </c>
      <c r="F48" s="9">
        <f t="shared" si="1"/>
        <v>0</v>
      </c>
    </row>
    <row r="49" spans="1:8" ht="15.75" customHeight="1">
      <c r="A49" s="16">
        <v>2180501010</v>
      </c>
      <c r="B49" s="18" t="s">
        <v>286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8" ht="15" customHeight="1">
      <c r="A50" s="7">
        <v>2190500005</v>
      </c>
      <c r="B50" s="11" t="s">
        <v>23</v>
      </c>
      <c r="C50" s="14"/>
      <c r="D50" s="14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3">
        <v>3000000000</v>
      </c>
      <c r="B51" s="13" t="s">
        <v>24</v>
      </c>
      <c r="C51" s="122">
        <v>0</v>
      </c>
      <c r="D51" s="14">
        <v>0</v>
      </c>
      <c r="E51" s="9" t="e">
        <f t="shared" si="0"/>
        <v>#DIV/0!</v>
      </c>
      <c r="F51" s="9">
        <f t="shared" si="1"/>
        <v>0</v>
      </c>
    </row>
    <row r="52" spans="1:8" s="6" customFormat="1" ht="19.5" customHeight="1">
      <c r="A52" s="7">
        <v>2020400000</v>
      </c>
      <c r="B52" s="8" t="s">
        <v>21</v>
      </c>
      <c r="C52" s="12">
        <v>1525.0002199999999</v>
      </c>
      <c r="D52" s="10">
        <v>1300</v>
      </c>
      <c r="E52" s="9">
        <f t="shared" si="0"/>
        <v>85.245889341576628</v>
      </c>
      <c r="F52" s="9">
        <f t="shared" si="1"/>
        <v>-225.0002199999999</v>
      </c>
    </row>
    <row r="53" spans="1:8" s="6" customFormat="1" ht="15" customHeight="1">
      <c r="A53" s="7">
        <v>2070500010</v>
      </c>
      <c r="B53" s="11" t="s">
        <v>288</v>
      </c>
      <c r="C53" s="12">
        <v>45</v>
      </c>
      <c r="D53" s="10">
        <v>0</v>
      </c>
      <c r="E53" s="9">
        <v>0</v>
      </c>
      <c r="F53" s="9">
        <f>SUM(D53-C53)</f>
        <v>-45</v>
      </c>
    </row>
    <row r="54" spans="1:8" s="6" customFormat="1" ht="18" customHeight="1">
      <c r="A54" s="3"/>
      <c r="B54" s="4" t="s">
        <v>25</v>
      </c>
      <c r="C54" s="93">
        <f>C39+C40</f>
        <v>12324.22637</v>
      </c>
      <c r="D54" s="470">
        <f>D39+D40</f>
        <v>8575.2322400000012</v>
      </c>
      <c r="E54" s="5">
        <f t="shared" si="0"/>
        <v>69.580288308190177</v>
      </c>
      <c r="F54" s="5">
        <f t="shared" si="1"/>
        <v>-3748.9941299999991</v>
      </c>
      <c r="G54" s="94"/>
      <c r="H54" s="200"/>
    </row>
    <row r="55" spans="1:8" s="6" customFormat="1">
      <c r="A55" s="3"/>
      <c r="B55" s="21" t="s">
        <v>306</v>
      </c>
      <c r="C55" s="93">
        <f>C54-C101</f>
        <v>-425.7523199999996</v>
      </c>
      <c r="D55" s="93">
        <f>D54-D101</f>
        <v>-29.975769999999102</v>
      </c>
      <c r="E55" s="22"/>
      <c r="F55" s="22"/>
    </row>
    <row r="56" spans="1:8">
      <c r="A56" s="23"/>
      <c r="B56" s="24"/>
      <c r="C56" s="115"/>
      <c r="D56" s="25"/>
      <c r="E56" s="26"/>
      <c r="F56" s="27"/>
    </row>
    <row r="57" spans="1:8" ht="63">
      <c r="A57" s="28" t="s">
        <v>0</v>
      </c>
      <c r="B57" s="28" t="s">
        <v>26</v>
      </c>
      <c r="C57" s="72" t="s">
        <v>398</v>
      </c>
      <c r="D57" s="73" t="s">
        <v>433</v>
      </c>
      <c r="E57" s="72" t="s">
        <v>2</v>
      </c>
      <c r="F57" s="74" t="s">
        <v>3</v>
      </c>
    </row>
    <row r="58" spans="1:8">
      <c r="A58" s="29">
        <v>1</v>
      </c>
      <c r="B58" s="28">
        <v>2</v>
      </c>
      <c r="C58" s="87">
        <v>3</v>
      </c>
      <c r="D58" s="87">
        <v>4</v>
      </c>
      <c r="E58" s="87">
        <v>5</v>
      </c>
      <c r="F58" s="87">
        <v>6</v>
      </c>
    </row>
    <row r="59" spans="1:8" s="6" customFormat="1" ht="15" customHeight="1">
      <c r="A59" s="30" t="s">
        <v>27</v>
      </c>
      <c r="B59" s="31" t="s">
        <v>28</v>
      </c>
      <c r="C59" s="32">
        <f>C60+C61+C62+C63+C64+C66+C65</f>
        <v>1402.8620000000001</v>
      </c>
      <c r="D59" s="33">
        <f>D60+D61+D62+D63+D64+D66+D65</f>
        <v>1267.82664</v>
      </c>
      <c r="E59" s="34">
        <f>SUM(D59/C59*100)</f>
        <v>90.374294834417071</v>
      </c>
      <c r="F59" s="34">
        <f>SUM(D59-C59)</f>
        <v>-135.03536000000008</v>
      </c>
    </row>
    <row r="60" spans="1:8" s="6" customFormat="1" ht="16.5" hidden="1" customHeight="1">
      <c r="A60" s="35" t="s">
        <v>29</v>
      </c>
      <c r="B60" s="36" t="s">
        <v>30</v>
      </c>
      <c r="C60" s="37"/>
      <c r="D60" s="37"/>
      <c r="E60" s="38"/>
      <c r="F60" s="38"/>
    </row>
    <row r="61" spans="1:8" ht="15" customHeight="1">
      <c r="A61" s="35" t="s">
        <v>31</v>
      </c>
      <c r="B61" s="39" t="s">
        <v>32</v>
      </c>
      <c r="C61" s="37">
        <v>1339.662</v>
      </c>
      <c r="D61" s="37">
        <v>1212.82664</v>
      </c>
      <c r="E61" s="38">
        <f t="shared" ref="E61:E101" si="3">SUM(D61/C61*100)</f>
        <v>90.532286502117699</v>
      </c>
      <c r="F61" s="38">
        <f t="shared" ref="F61:F101" si="4">SUM(D61-C61)</f>
        <v>-126.83536000000004</v>
      </c>
    </row>
    <row r="62" spans="1:8" ht="15.75" hidden="1" customHeight="1">
      <c r="A62" s="35" t="s">
        <v>33</v>
      </c>
      <c r="B62" s="39" t="s">
        <v>34</v>
      </c>
      <c r="C62" s="37"/>
      <c r="D62" s="37"/>
      <c r="E62" s="38"/>
      <c r="F62" s="38">
        <f t="shared" si="4"/>
        <v>0</v>
      </c>
    </row>
    <row r="63" spans="1:8" ht="18" hidden="1" customHeight="1">
      <c r="A63" s="35" t="s">
        <v>35</v>
      </c>
      <c r="B63" s="39" t="s">
        <v>36</v>
      </c>
      <c r="C63" s="37"/>
      <c r="D63" s="37"/>
      <c r="E63" s="38" t="e">
        <f t="shared" si="3"/>
        <v>#DIV/0!</v>
      </c>
      <c r="F63" s="38">
        <f t="shared" si="4"/>
        <v>0</v>
      </c>
    </row>
    <row r="64" spans="1:8" ht="17.25" customHeight="1">
      <c r="A64" s="35" t="s">
        <v>37</v>
      </c>
      <c r="B64" s="39" t="s">
        <v>38</v>
      </c>
      <c r="C64" s="37">
        <v>34</v>
      </c>
      <c r="D64" s="37">
        <v>34</v>
      </c>
      <c r="E64" s="38">
        <f t="shared" si="3"/>
        <v>100</v>
      </c>
      <c r="F64" s="38">
        <f t="shared" si="4"/>
        <v>0</v>
      </c>
    </row>
    <row r="65" spans="1:7" ht="16.5" customHeight="1">
      <c r="A65" s="35" t="s">
        <v>39</v>
      </c>
      <c r="B65" s="39" t="s">
        <v>40</v>
      </c>
      <c r="C65" s="40">
        <v>5</v>
      </c>
      <c r="D65" s="40">
        <v>0</v>
      </c>
      <c r="E65" s="38">
        <f t="shared" si="3"/>
        <v>0</v>
      </c>
      <c r="F65" s="38">
        <f t="shared" si="4"/>
        <v>-5</v>
      </c>
    </row>
    <row r="66" spans="1:7" ht="18" customHeight="1">
      <c r="A66" s="35" t="s">
        <v>41</v>
      </c>
      <c r="B66" s="39" t="s">
        <v>42</v>
      </c>
      <c r="C66" s="37">
        <v>24.2</v>
      </c>
      <c r="D66" s="37">
        <v>21</v>
      </c>
      <c r="E66" s="38">
        <f t="shared" si="3"/>
        <v>86.776859504132233</v>
      </c>
      <c r="F66" s="38">
        <f t="shared" si="4"/>
        <v>-3.1999999999999993</v>
      </c>
    </row>
    <row r="67" spans="1:7" s="6" customFormat="1" ht="15" customHeight="1">
      <c r="A67" s="41" t="s">
        <v>43</v>
      </c>
      <c r="B67" s="42" t="s">
        <v>44</v>
      </c>
      <c r="C67" s="32">
        <f>C68</f>
        <v>198.36600000000001</v>
      </c>
      <c r="D67" s="32">
        <f>D68</f>
        <v>162.37531999999999</v>
      </c>
      <c r="E67" s="34">
        <f t="shared" si="3"/>
        <v>81.856427008660745</v>
      </c>
      <c r="F67" s="34">
        <f t="shared" si="4"/>
        <v>-35.990680000000026</v>
      </c>
    </row>
    <row r="68" spans="1:7">
      <c r="A68" s="43" t="s">
        <v>45</v>
      </c>
      <c r="B68" s="44" t="s">
        <v>46</v>
      </c>
      <c r="C68" s="37">
        <v>198.36600000000001</v>
      </c>
      <c r="D68" s="37">
        <v>162.37531999999999</v>
      </c>
      <c r="E68" s="38">
        <f t="shared" si="3"/>
        <v>81.856427008660745</v>
      </c>
      <c r="F68" s="38">
        <f t="shared" si="4"/>
        <v>-35.990680000000026</v>
      </c>
    </row>
    <row r="69" spans="1:7" s="6" customFormat="1" ht="16.5" customHeight="1">
      <c r="A69" s="30" t="s">
        <v>47</v>
      </c>
      <c r="B69" s="31" t="s">
        <v>48</v>
      </c>
      <c r="C69" s="32">
        <f>C72+C73+C74</f>
        <v>12.821999999999999</v>
      </c>
      <c r="D69" s="32">
        <f>SUM(D72+D73+D74)</f>
        <v>8.821909999999999</v>
      </c>
      <c r="E69" s="34">
        <f t="shared" si="3"/>
        <v>68.80291686164405</v>
      </c>
      <c r="F69" s="34">
        <f t="shared" si="4"/>
        <v>-4.0000900000000001</v>
      </c>
    </row>
    <row r="70" spans="1:7" hidden="1">
      <c r="A70" s="35" t="s">
        <v>49</v>
      </c>
      <c r="B70" s="39" t="s">
        <v>50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idden="1">
      <c r="A71" s="45" t="s">
        <v>51</v>
      </c>
      <c r="B71" s="39" t="s">
        <v>52</v>
      </c>
      <c r="C71" s="37"/>
      <c r="D71" s="37"/>
      <c r="E71" s="34" t="e">
        <f t="shared" si="3"/>
        <v>#DIV/0!</v>
      </c>
      <c r="F71" s="34">
        <f t="shared" si="4"/>
        <v>0</v>
      </c>
    </row>
    <row r="72" spans="1:7" ht="15.75" customHeight="1">
      <c r="A72" s="46" t="s">
        <v>53</v>
      </c>
      <c r="B72" s="47" t="s">
        <v>54</v>
      </c>
      <c r="C72" s="96">
        <v>2.8220000000000001</v>
      </c>
      <c r="D72" s="37">
        <v>2.8219099999999999</v>
      </c>
      <c r="E72" s="34">
        <f t="shared" si="3"/>
        <v>99.99681077250176</v>
      </c>
      <c r="F72" s="34">
        <f t="shared" si="4"/>
        <v>-9.0000000000145519E-5</v>
      </c>
    </row>
    <row r="73" spans="1:7" ht="15.75" customHeight="1">
      <c r="A73" s="46" t="s">
        <v>214</v>
      </c>
      <c r="B73" s="47" t="s">
        <v>215</v>
      </c>
      <c r="C73" s="37">
        <v>8</v>
      </c>
      <c r="D73" s="37">
        <v>6</v>
      </c>
      <c r="E73" s="34">
        <f t="shared" si="3"/>
        <v>75</v>
      </c>
      <c r="F73" s="34">
        <f t="shared" si="4"/>
        <v>-2</v>
      </c>
    </row>
    <row r="74" spans="1:7" ht="15.75" customHeight="1">
      <c r="A74" s="46" t="s">
        <v>336</v>
      </c>
      <c r="B74" s="47" t="s">
        <v>339</v>
      </c>
      <c r="C74" s="37">
        <v>2</v>
      </c>
      <c r="D74" s="37">
        <v>0</v>
      </c>
      <c r="E74" s="34"/>
      <c r="F74" s="34"/>
    </row>
    <row r="75" spans="1:7" s="6" customFormat="1" ht="15" customHeight="1">
      <c r="A75" s="30" t="s">
        <v>55</v>
      </c>
      <c r="B75" s="31" t="s">
        <v>56</v>
      </c>
      <c r="C75" s="48">
        <f>SUM(C76:C79)</f>
        <v>2221.0699499999996</v>
      </c>
      <c r="D75" s="48">
        <f>SUM(D76:D79)</f>
        <v>2088.17823</v>
      </c>
      <c r="E75" s="34">
        <f t="shared" si="3"/>
        <v>94.016770160705661</v>
      </c>
      <c r="F75" s="34">
        <f t="shared" si="4"/>
        <v>-132.89171999999962</v>
      </c>
    </row>
    <row r="76" spans="1:7" ht="17.25" customHeight="1">
      <c r="A76" s="35" t="s">
        <v>57</v>
      </c>
      <c r="B76" s="39" t="s">
        <v>58</v>
      </c>
      <c r="C76" s="49">
        <v>2.5190000000000001</v>
      </c>
      <c r="D76" s="37">
        <v>0</v>
      </c>
      <c r="E76" s="38">
        <f t="shared" si="3"/>
        <v>0</v>
      </c>
      <c r="F76" s="38">
        <f t="shared" si="4"/>
        <v>-2.5190000000000001</v>
      </c>
    </row>
    <row r="77" spans="1:7" s="6" customFormat="1" ht="19.5" customHeight="1">
      <c r="A77" s="35" t="s">
        <v>59</v>
      </c>
      <c r="B77" s="39" t="s">
        <v>60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  <c r="G77" s="50"/>
    </row>
    <row r="78" spans="1:7">
      <c r="A78" s="35" t="s">
        <v>61</v>
      </c>
      <c r="B78" s="39" t="s">
        <v>62</v>
      </c>
      <c r="C78" s="49">
        <v>2216.0509499999998</v>
      </c>
      <c r="D78" s="37">
        <v>2085.67823</v>
      </c>
      <c r="E78" s="38">
        <f t="shared" si="3"/>
        <v>94.11688977638353</v>
      </c>
      <c r="F78" s="38">
        <f t="shared" si="4"/>
        <v>-130.37271999999984</v>
      </c>
    </row>
    <row r="79" spans="1:7">
      <c r="A79" s="35" t="s">
        <v>63</v>
      </c>
      <c r="B79" s="39" t="s">
        <v>64</v>
      </c>
      <c r="C79" s="49">
        <v>2.5</v>
      </c>
      <c r="D79" s="37">
        <v>2.5</v>
      </c>
      <c r="E79" s="38">
        <f t="shared" si="3"/>
        <v>100</v>
      </c>
      <c r="F79" s="38">
        <f t="shared" si="4"/>
        <v>0</v>
      </c>
    </row>
    <row r="80" spans="1:7" s="6" customFormat="1" ht="14.25" customHeight="1">
      <c r="A80" s="30" t="s">
        <v>65</v>
      </c>
      <c r="B80" s="31" t="s">
        <v>66</v>
      </c>
      <c r="C80" s="32">
        <f>SUM(C81:C83)</f>
        <v>6533.3587399999997</v>
      </c>
      <c r="D80" s="32">
        <f>SUM(D81:D83)</f>
        <v>2992.9725800000001</v>
      </c>
      <c r="E80" s="34">
        <f t="shared" si="3"/>
        <v>45.810626648675353</v>
      </c>
      <c r="F80" s="34">
        <f t="shared" si="4"/>
        <v>-3540.3861599999996</v>
      </c>
    </row>
    <row r="81" spans="1:6" ht="16.5" hidden="1" customHeight="1">
      <c r="A81" s="35" t="s">
        <v>67</v>
      </c>
      <c r="B81" s="51" t="s">
        <v>68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15.75" customHeight="1">
      <c r="A82" s="35" t="s">
        <v>69</v>
      </c>
      <c r="B82" s="51" t="s">
        <v>70</v>
      </c>
      <c r="C82" s="37">
        <v>300</v>
      </c>
      <c r="D82" s="37">
        <v>249.92346000000001</v>
      </c>
      <c r="E82" s="38">
        <f t="shared" si="3"/>
        <v>83.307819999999992</v>
      </c>
      <c r="F82" s="38">
        <f t="shared" si="4"/>
        <v>-50.076539999999994</v>
      </c>
    </row>
    <row r="83" spans="1:6">
      <c r="A83" s="35" t="s">
        <v>71</v>
      </c>
      <c r="B83" s="39" t="s">
        <v>72</v>
      </c>
      <c r="C83" s="37">
        <v>6233.3587399999997</v>
      </c>
      <c r="D83" s="37">
        <v>2743.0491200000001</v>
      </c>
      <c r="E83" s="38">
        <f t="shared" si="3"/>
        <v>44.005956249519507</v>
      </c>
      <c r="F83" s="38">
        <f t="shared" si="4"/>
        <v>-3490.3096199999995</v>
      </c>
    </row>
    <row r="84" spans="1:6" s="6" customFormat="1">
      <c r="A84" s="30" t="s">
        <v>83</v>
      </c>
      <c r="B84" s="31" t="s">
        <v>84</v>
      </c>
      <c r="C84" s="32">
        <f>C85</f>
        <v>2379.5</v>
      </c>
      <c r="D84" s="32">
        <f>SUM(D85)</f>
        <v>2085.0333300000002</v>
      </c>
      <c r="E84" s="34">
        <f t="shared" si="3"/>
        <v>87.624851019121678</v>
      </c>
      <c r="F84" s="34">
        <f t="shared" si="4"/>
        <v>-294.46666999999979</v>
      </c>
    </row>
    <row r="85" spans="1:6" ht="15" customHeight="1">
      <c r="A85" s="35" t="s">
        <v>85</v>
      </c>
      <c r="B85" s="39" t="s">
        <v>229</v>
      </c>
      <c r="C85" s="37">
        <v>2379.5</v>
      </c>
      <c r="D85" s="37">
        <v>2085.0333300000002</v>
      </c>
      <c r="E85" s="38">
        <f t="shared" si="3"/>
        <v>87.624851019121678</v>
      </c>
      <c r="F85" s="38">
        <f t="shared" si="4"/>
        <v>-294.46666999999979</v>
      </c>
    </row>
    <row r="86" spans="1:6" s="6" customFormat="1" ht="15.75" hidden="1" customHeight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15.75" hidden="1" customHeight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53">
        <v>1003</v>
      </c>
      <c r="B88" s="54" t="s">
        <v>88</v>
      </c>
      <c r="C88" s="96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.75" hidden="1" customHeight="1">
      <c r="A89" s="53">
        <v>1004</v>
      </c>
      <c r="B89" s="54" t="s">
        <v>89</v>
      </c>
      <c r="C89" s="37"/>
      <c r="D89" s="55"/>
      <c r="E89" s="38" t="e">
        <f t="shared" si="3"/>
        <v>#DIV/0!</v>
      </c>
      <c r="F89" s="38">
        <f t="shared" si="4"/>
        <v>0</v>
      </c>
    </row>
    <row r="90" spans="1:6" ht="15.75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/>
      <c r="F90" s="38">
        <f t="shared" si="4"/>
        <v>0</v>
      </c>
    </row>
    <row r="91" spans="1:6" ht="15.75" customHeight="1">
      <c r="A91" s="30" t="s">
        <v>92</v>
      </c>
      <c r="B91" s="31" t="s">
        <v>93</v>
      </c>
      <c r="C91" s="32">
        <f>C92</f>
        <v>2</v>
      </c>
      <c r="D91" s="32">
        <f>D92+D93+D94+D95+D96</f>
        <v>0</v>
      </c>
      <c r="E91" s="38"/>
      <c r="F91" s="22">
        <f>F92+F93+F94+F95+F96</f>
        <v>-2</v>
      </c>
    </row>
    <row r="92" spans="1:6" ht="16.5" customHeight="1">
      <c r="A92" s="35" t="s">
        <v>94</v>
      </c>
      <c r="B92" s="39" t="s">
        <v>95</v>
      </c>
      <c r="C92" s="37">
        <v>2</v>
      </c>
      <c r="D92" s="37">
        <v>0</v>
      </c>
      <c r="E92" s="38"/>
      <c r="F92" s="38">
        <f>SUM(D92-C92)</f>
        <v>-2</v>
      </c>
    </row>
    <row r="93" spans="1:6" ht="1.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>
        <f>SUM(D93-C93)</f>
        <v>0</v>
      </c>
    </row>
    <row r="94" spans="1:6" ht="21.7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ht="14.25" hidden="1" customHeight="1">
      <c r="A96" s="35" t="s">
        <v>102</v>
      </c>
      <c r="B96" s="39" t="s">
        <v>103</v>
      </c>
      <c r="C96" s="37"/>
      <c r="D96" s="37"/>
      <c r="E96" s="38" t="e">
        <f t="shared" si="3"/>
        <v>#DIV/0!</v>
      </c>
      <c r="F96" s="38"/>
    </row>
    <row r="97" spans="1:6" s="6" customFormat="1" ht="19.5" hidden="1" customHeight="1">
      <c r="A97" s="52">
        <v>1400</v>
      </c>
      <c r="B97" s="56" t="s">
        <v>112</v>
      </c>
      <c r="C97" s="48">
        <f>C98+C99+C100</f>
        <v>0</v>
      </c>
      <c r="D97" s="177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5" hidden="1" customHeight="1">
      <c r="A98" s="53">
        <v>1401</v>
      </c>
      <c r="B98" s="54" t="s">
        <v>113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6.5" hidden="1" customHeight="1">
      <c r="A99" s="53">
        <v>1402</v>
      </c>
      <c r="B99" s="54" t="s">
        <v>114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1403</v>
      </c>
      <c r="B100" s="54" t="s">
        <v>115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s="6" customFormat="1" ht="21" customHeight="1">
      <c r="A101" s="52"/>
      <c r="B101" s="57" t="s">
        <v>116</v>
      </c>
      <c r="C101" s="457">
        <f>C59+C67+C69+C75+C80+C84+C91+C86</f>
        <v>12749.97869</v>
      </c>
      <c r="D101" s="457">
        <f>D59+D67+D69+D75+D80+D84+D91+D86</f>
        <v>8605.2080100000003</v>
      </c>
      <c r="E101" s="34">
        <f t="shared" si="3"/>
        <v>67.491940333588119</v>
      </c>
      <c r="F101" s="34">
        <f t="shared" si="4"/>
        <v>-4144.7706799999996</v>
      </c>
    </row>
    <row r="102" spans="1:6">
      <c r="D102" s="181"/>
    </row>
    <row r="103" spans="1:6" s="65" customFormat="1" ht="18" customHeight="1">
      <c r="A103" s="63" t="s">
        <v>117</v>
      </c>
      <c r="B103" s="63"/>
      <c r="C103" s="131"/>
      <c r="D103" s="64"/>
      <c r="E103" s="64"/>
    </row>
    <row r="104" spans="1:6" s="65" customFormat="1" ht="12.75">
      <c r="A104" s="66" t="s">
        <v>118</v>
      </c>
      <c r="B104" s="66"/>
      <c r="C104" s="65" t="s">
        <v>119</v>
      </c>
    </row>
    <row r="105" spans="1:6">
      <c r="C105" s="120"/>
    </row>
    <row r="144" hidden="1"/>
  </sheetData>
  <customSheetViews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1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6"/>
    </customSheetView>
    <customSheetView guid="{B30CE22D-C12F-4E12-8BB9-3AAE0A6991CC}" scale="70" showPageBreaks="1" printArea="1" hiddenRows="1" view="pageBreakPreview" topLeftCell="A34">
      <selection activeCell="E77" sqref="E7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12">
      <selection activeCell="C90" sqref="C90"/>
      <pageMargins left="0.7" right="0.7" top="0.75" bottom="0.75" header="0.3" footer="0.3"/>
      <pageSetup paperSize="9" scale="41" orientation="portrait" r:id="rId8"/>
    </customSheetView>
    <customSheetView guid="{61528DAC-5C4C-48F4-ADE2-8A724B05A086}" scale="70" showPageBreaks="1" hiddenRows="1" view="pageBreakPreview" topLeftCell="A31">
      <selection activeCell="C40" sqref="C40"/>
      <pageMargins left="0.70866141732283472" right="0.70866141732283472" top="0.74803149606299213" bottom="0.74803149606299213" header="0.31496062992125984" footer="0.31496062992125984"/>
      <pageSetup paperSize="9" scale="56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47" zoomScale="7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46" t="s">
        <v>435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54.75" customHeight="1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2550.96</v>
      </c>
      <c r="D4" s="5">
        <f>D5+D12+D14+D17+D7</f>
        <v>2253.4830099999999</v>
      </c>
      <c r="E4" s="5">
        <f>SUM(D4/C4*100)</f>
        <v>88.338625850660137</v>
      </c>
      <c r="F4" s="5">
        <f>SUM(D4-C4)</f>
        <v>-297.47699000000011</v>
      </c>
    </row>
    <row r="5" spans="1:6" s="6" customFormat="1">
      <c r="A5" s="68">
        <v>1010000000</v>
      </c>
      <c r="B5" s="67" t="s">
        <v>5</v>
      </c>
      <c r="C5" s="5">
        <f>C6</f>
        <v>164.5</v>
      </c>
      <c r="D5" s="5">
        <f>D6</f>
        <v>170.49780999999999</v>
      </c>
      <c r="E5" s="5">
        <f t="shared" ref="E5:E52" si="0">SUM(D5/C5*100)</f>
        <v>103.64608510638298</v>
      </c>
      <c r="F5" s="5">
        <f t="shared" ref="F5:F52" si="1">SUM(D5-C5)</f>
        <v>5.997809999999987</v>
      </c>
    </row>
    <row r="6" spans="1:6">
      <c r="A6" s="7">
        <v>1010200001</v>
      </c>
      <c r="B6" s="8" t="s">
        <v>224</v>
      </c>
      <c r="C6" s="9">
        <v>164.5</v>
      </c>
      <c r="D6" s="10">
        <v>170.49780999999999</v>
      </c>
      <c r="E6" s="9">
        <f t="shared" ref="E6:E11" si="2">SUM(D6/C6*100)</f>
        <v>103.64608510638298</v>
      </c>
      <c r="F6" s="9">
        <f t="shared" si="1"/>
        <v>5.997809999999987</v>
      </c>
    </row>
    <row r="7" spans="1:6" ht="31.5">
      <c r="A7" s="3">
        <v>1030000000</v>
      </c>
      <c r="B7" s="13" t="s">
        <v>266</v>
      </c>
      <c r="C7" s="5">
        <f>C8+C10+C9</f>
        <v>856.45999999999992</v>
      </c>
      <c r="D7" s="5">
        <f>D8+D10+D9+D11</f>
        <v>746.97622999999999</v>
      </c>
      <c r="E7" s="5">
        <f t="shared" si="2"/>
        <v>87.216709478551252</v>
      </c>
      <c r="F7" s="5">
        <f t="shared" si="1"/>
        <v>-109.48376999999994</v>
      </c>
    </row>
    <row r="8" spans="1:6">
      <c r="A8" s="7">
        <v>1030223001</v>
      </c>
      <c r="B8" s="8" t="s">
        <v>268</v>
      </c>
      <c r="C8" s="9">
        <v>319.45999999999998</v>
      </c>
      <c r="D8" s="10">
        <v>344.12070999999997</v>
      </c>
      <c r="E8" s="9">
        <f t="shared" si="2"/>
        <v>107.7194985287673</v>
      </c>
      <c r="F8" s="9">
        <f t="shared" si="1"/>
        <v>24.660709999999995</v>
      </c>
    </row>
    <row r="9" spans="1:6">
      <c r="A9" s="7">
        <v>1030224001</v>
      </c>
      <c r="B9" s="8" t="s">
        <v>274</v>
      </c>
      <c r="C9" s="9">
        <v>3.43</v>
      </c>
      <c r="D9" s="10">
        <v>2.4688300000000001</v>
      </c>
      <c r="E9" s="9">
        <f t="shared" si="2"/>
        <v>71.977551020408157</v>
      </c>
      <c r="F9" s="9">
        <f t="shared" si="1"/>
        <v>-0.96117000000000008</v>
      </c>
    </row>
    <row r="10" spans="1:6">
      <c r="A10" s="7">
        <v>1030225001</v>
      </c>
      <c r="B10" s="8" t="s">
        <v>267</v>
      </c>
      <c r="C10" s="9">
        <v>533.57000000000005</v>
      </c>
      <c r="D10" s="10">
        <v>462.36984999999999</v>
      </c>
      <c r="E10" s="9">
        <f t="shared" si="2"/>
        <v>86.655893322338201</v>
      </c>
      <c r="F10" s="9">
        <f>SUM(D10-C10)</f>
        <v>-71.200150000000065</v>
      </c>
    </row>
    <row r="11" spans="1:6">
      <c r="A11" s="7">
        <v>1030226001</v>
      </c>
      <c r="B11" s="8" t="s">
        <v>276</v>
      </c>
      <c r="C11" s="9">
        <v>0</v>
      </c>
      <c r="D11" s="10">
        <v>-61.983159999999998</v>
      </c>
      <c r="E11" s="9" t="e">
        <f t="shared" si="2"/>
        <v>#DIV/0!</v>
      </c>
      <c r="F11" s="9">
        <f>SUM(D11-C11)</f>
        <v>-61.983159999999998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13.262040000000001</v>
      </c>
      <c r="E12" s="5">
        <f t="shared" si="0"/>
        <v>66.310200000000009</v>
      </c>
      <c r="F12" s="5">
        <f t="shared" si="1"/>
        <v>-6.7379599999999993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13.262040000000001</v>
      </c>
      <c r="E13" s="9">
        <f t="shared" si="0"/>
        <v>66.310200000000009</v>
      </c>
      <c r="F13" s="9">
        <f t="shared" si="1"/>
        <v>-6.7379599999999993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1495</v>
      </c>
      <c r="D14" s="5">
        <f>D15+D16</f>
        <v>1319.1469299999999</v>
      </c>
      <c r="E14" s="5">
        <f t="shared" si="0"/>
        <v>88.237252842809355</v>
      </c>
      <c r="F14" s="5">
        <f t="shared" si="1"/>
        <v>-175.85307000000012</v>
      </c>
    </row>
    <row r="15" spans="1:6" s="6" customFormat="1" ht="15.75" customHeight="1">
      <c r="A15" s="7">
        <v>1060100000</v>
      </c>
      <c r="B15" s="11" t="s">
        <v>8</v>
      </c>
      <c r="C15" s="9">
        <v>245</v>
      </c>
      <c r="D15" s="10">
        <v>185.42141000000001</v>
      </c>
      <c r="E15" s="9">
        <f t="shared" si="0"/>
        <v>75.682208163265301</v>
      </c>
      <c r="F15" s="9">
        <f>SUM(D15-C15)</f>
        <v>-59.578589999999991</v>
      </c>
    </row>
    <row r="16" spans="1:6" ht="15.75" customHeight="1">
      <c r="A16" s="7">
        <v>1060600000</v>
      </c>
      <c r="B16" s="11" t="s">
        <v>7</v>
      </c>
      <c r="C16" s="9">
        <v>1250</v>
      </c>
      <c r="D16" s="10">
        <v>1133.72552</v>
      </c>
      <c r="E16" s="9">
        <f t="shared" si="0"/>
        <v>90.698041599999996</v>
      </c>
      <c r="F16" s="9">
        <f t="shared" si="1"/>
        <v>-116.27448000000004</v>
      </c>
    </row>
    <row r="17" spans="1:6" s="6" customFormat="1">
      <c r="A17" s="3">
        <v>1080000000</v>
      </c>
      <c r="B17" s="4" t="s">
        <v>10</v>
      </c>
      <c r="C17" s="5">
        <f>C18</f>
        <v>15</v>
      </c>
      <c r="D17" s="5">
        <f>D18</f>
        <v>3.6</v>
      </c>
      <c r="E17" s="5">
        <f t="shared" si="0"/>
        <v>24.000000000000004</v>
      </c>
      <c r="F17" s="5">
        <f t="shared" si="1"/>
        <v>-11.4</v>
      </c>
    </row>
    <row r="18" spans="1:6" ht="18" customHeight="1">
      <c r="A18" s="7">
        <v>1080400001</v>
      </c>
      <c r="B18" s="8" t="s">
        <v>223</v>
      </c>
      <c r="C18" s="9">
        <v>15</v>
      </c>
      <c r="D18" s="10">
        <v>3.6</v>
      </c>
      <c r="E18" s="9">
        <f t="shared" si="0"/>
        <v>24.000000000000004</v>
      </c>
      <c r="F18" s="9">
        <f t="shared" si="1"/>
        <v>-11.4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90</v>
      </c>
      <c r="D25" s="5">
        <f>D30+D37+D26+D35</f>
        <v>90.290880000000001</v>
      </c>
      <c r="E25" s="5">
        <f t="shared" si="0"/>
        <v>100.32320000000001</v>
      </c>
      <c r="F25" s="5">
        <f t="shared" si="1"/>
        <v>0.29088000000000136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90</v>
      </c>
      <c r="D26" s="5">
        <f>D27+D28</f>
        <v>38.51829</v>
      </c>
      <c r="E26" s="5">
        <f t="shared" si="0"/>
        <v>42.798099999999998</v>
      </c>
      <c r="F26" s="5">
        <f t="shared" si="1"/>
        <v>-51.48171</v>
      </c>
    </row>
    <row r="27" spans="1:6" ht="15" customHeight="1">
      <c r="A27" s="16">
        <v>1110502510</v>
      </c>
      <c r="B27" s="17" t="s">
        <v>221</v>
      </c>
      <c r="C27" s="12">
        <v>90</v>
      </c>
      <c r="D27" s="10">
        <v>38.51829</v>
      </c>
      <c r="E27" s="9">
        <f t="shared" si="0"/>
        <v>42.798099999999998</v>
      </c>
      <c r="F27" s="9">
        <f t="shared" si="1"/>
        <v>-51.48171</v>
      </c>
    </row>
    <row r="28" spans="1:6" ht="15.75" hidden="1" customHeight="1">
      <c r="A28" s="7">
        <v>1110503510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3.5" hidden="1" customHeight="1">
      <c r="A29" s="7">
        <v>1110532510</v>
      </c>
      <c r="B29" s="11" t="s">
        <v>338</v>
      </c>
      <c r="C29" s="12">
        <v>0</v>
      </c>
      <c r="D29" s="181">
        <v>0</v>
      </c>
      <c r="E29" s="9" t="e">
        <f>SUM(D28/C29*100)</f>
        <v>#DIV/0!</v>
      </c>
      <c r="F29" s="9">
        <f>SUM(D28-C29)</f>
        <v>0</v>
      </c>
    </row>
    <row r="30" spans="1:6" s="15" customFormat="1" ht="27.75" customHeight="1">
      <c r="A30" s="68">
        <v>1130000000</v>
      </c>
      <c r="B30" s="69" t="s">
        <v>128</v>
      </c>
      <c r="C30" s="5">
        <f>C31</f>
        <v>0</v>
      </c>
      <c r="D30" s="5">
        <f>D31</f>
        <v>51.772590000000001</v>
      </c>
      <c r="E30" s="5" t="e">
        <f t="shared" si="0"/>
        <v>#DIV/0!</v>
      </c>
      <c r="F30" s="5">
        <f t="shared" si="1"/>
        <v>51.772590000000001</v>
      </c>
    </row>
    <row r="31" spans="1:6" ht="22.5" customHeight="1">
      <c r="A31" s="7">
        <v>1130206510</v>
      </c>
      <c r="B31" s="8" t="s">
        <v>413</v>
      </c>
      <c r="C31" s="9">
        <v>0</v>
      </c>
      <c r="D31" s="10">
        <v>51.772590000000001</v>
      </c>
      <c r="E31" s="9" t="e">
        <f t="shared" si="0"/>
        <v>#DIV/0!</v>
      </c>
      <c r="F31" s="9">
        <f t="shared" si="1"/>
        <v>51.772590000000001</v>
      </c>
    </row>
    <row r="32" spans="1:6" ht="22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21.75" hidden="1" customHeight="1">
      <c r="A33" s="16">
        <v>1140200000</v>
      </c>
      <c r="B33" s="18" t="s">
        <v>217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7.25" customHeight="1">
      <c r="A35" s="3">
        <v>1160000000</v>
      </c>
      <c r="B35" s="13" t="s">
        <v>240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4.25" customHeight="1">
      <c r="A36" s="7">
        <v>1163305010</v>
      </c>
      <c r="B36" s="8" t="s">
        <v>255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4.25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5.75" customHeight="1">
      <c r="A38" s="7">
        <v>1170105010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7.25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7">
        <f>SUM(C4,C25)</f>
        <v>2640.96</v>
      </c>
      <c r="D40" s="127">
        <f>D4+D25</f>
        <v>2343.7738899999999</v>
      </c>
      <c r="E40" s="5">
        <f t="shared" si="0"/>
        <v>88.747042363383017</v>
      </c>
      <c r="F40" s="5">
        <f t="shared" si="1"/>
        <v>-297.1861100000001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14273.75051</v>
      </c>
      <c r="D41" s="5">
        <f>D42+D44+D45+D47+D48+D49+D43+D51</f>
        <v>9703.9735100000016</v>
      </c>
      <c r="E41" s="5">
        <f t="shared" si="0"/>
        <v>67.984749370542289</v>
      </c>
      <c r="F41" s="5">
        <f t="shared" si="1"/>
        <v>-4569.7769999999982</v>
      </c>
      <c r="G41" s="19"/>
    </row>
    <row r="42" spans="1:7" ht="17.25" customHeight="1">
      <c r="A42" s="16">
        <v>2021000000</v>
      </c>
      <c r="B42" s="17" t="s">
        <v>18</v>
      </c>
      <c r="C42" s="12">
        <v>2004.7</v>
      </c>
      <c r="D42" s="254">
        <v>1837.605</v>
      </c>
      <c r="E42" s="9">
        <f t="shared" si="0"/>
        <v>91.664837631565817</v>
      </c>
      <c r="F42" s="9">
        <f t="shared" si="1"/>
        <v>-167.09500000000003</v>
      </c>
    </row>
    <row r="43" spans="1:7" ht="17.25" customHeight="1">
      <c r="A43" s="16">
        <v>2021500200</v>
      </c>
      <c r="B43" s="17" t="s">
        <v>227</v>
      </c>
      <c r="C43" s="255">
        <v>614</v>
      </c>
      <c r="D43" s="20">
        <v>614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2752.4889800000001</v>
      </c>
      <c r="D44" s="10">
        <v>980.46699999999998</v>
      </c>
      <c r="E44" s="9">
        <f t="shared" si="0"/>
        <v>35.621105374961395</v>
      </c>
      <c r="F44" s="9">
        <f t="shared" si="1"/>
        <v>-1772.02198</v>
      </c>
    </row>
    <row r="45" spans="1:7" ht="15.75" customHeight="1">
      <c r="A45" s="16">
        <v>2023000000</v>
      </c>
      <c r="B45" s="17" t="s">
        <v>20</v>
      </c>
      <c r="C45" s="12">
        <v>198.36600000000001</v>
      </c>
      <c r="D45" s="187">
        <v>180.68299999999999</v>
      </c>
      <c r="E45" s="9">
        <f t="shared" si="0"/>
        <v>91.08566992327313</v>
      </c>
      <c r="F45" s="9">
        <f t="shared" si="1"/>
        <v>-17.683000000000021</v>
      </c>
    </row>
    <row r="46" spans="1:7" ht="15" hidden="1" customHeight="1">
      <c r="A46" s="16">
        <v>2070503010</v>
      </c>
      <c r="B46" s="17" t="s">
        <v>256</v>
      </c>
      <c r="C46" s="12">
        <v>0</v>
      </c>
      <c r="D46" s="187">
        <v>0</v>
      </c>
      <c r="E46" s="9" t="e">
        <f t="shared" si="0"/>
        <v>#DIV/0!</v>
      </c>
      <c r="F46" s="9">
        <f t="shared" si="1"/>
        <v>0</v>
      </c>
    </row>
    <row r="47" spans="1:7" ht="18" customHeight="1">
      <c r="A47" s="16">
        <v>2020400000</v>
      </c>
      <c r="B47" s="17" t="s">
        <v>21</v>
      </c>
      <c r="C47" s="12">
        <v>8558.7859200000003</v>
      </c>
      <c r="D47" s="188">
        <v>5827.3220000000001</v>
      </c>
      <c r="E47" s="9">
        <f t="shared" si="0"/>
        <v>68.085848325553172</v>
      </c>
      <c r="F47" s="9">
        <f t="shared" si="1"/>
        <v>-2731.4639200000001</v>
      </c>
    </row>
    <row r="48" spans="1:7" ht="22.5" hidden="1" customHeight="1">
      <c r="A48" s="16">
        <v>2020900000</v>
      </c>
      <c r="B48" s="18" t="s">
        <v>22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21.75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customHeight="1">
      <c r="A50" s="3">
        <v>3000000000</v>
      </c>
      <c r="B50" s="13" t="s">
        <v>24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288</v>
      </c>
      <c r="C51" s="218">
        <v>145.40960999999999</v>
      </c>
      <c r="D51" s="219">
        <v>263.89650999999998</v>
      </c>
      <c r="E51" s="9">
        <f t="shared" si="0"/>
        <v>181.48491698726102</v>
      </c>
      <c r="F51" s="9">
        <f t="shared" si="1"/>
        <v>118.48689999999999</v>
      </c>
    </row>
    <row r="52" spans="1:8" s="6" customFormat="1">
      <c r="A52" s="3"/>
      <c r="B52" s="4" t="s">
        <v>25</v>
      </c>
      <c r="C52" s="194">
        <f>SUM(C40,C41,C50)</f>
        <v>16914.710510000001</v>
      </c>
      <c r="D52" s="456">
        <f>D40+D41</f>
        <v>12047.747400000002</v>
      </c>
      <c r="E52" s="5">
        <f t="shared" si="0"/>
        <v>71.226447493011221</v>
      </c>
      <c r="F52" s="5">
        <f t="shared" si="1"/>
        <v>-4866.9631099999988</v>
      </c>
      <c r="G52" s="94"/>
      <c r="H52" s="200"/>
    </row>
    <row r="53" spans="1:8" s="6" customFormat="1">
      <c r="A53" s="3"/>
      <c r="B53" s="21" t="s">
        <v>306</v>
      </c>
      <c r="C53" s="265">
        <f>C52-C99</f>
        <v>-1404.8947299999963</v>
      </c>
      <c r="D53" s="265">
        <f>D52-D99</f>
        <v>-16.20071999999891</v>
      </c>
      <c r="E53" s="22"/>
      <c r="F53" s="22"/>
    </row>
    <row r="54" spans="1:8" ht="9" customHeight="1">
      <c r="A54" s="23"/>
      <c r="B54" s="24"/>
      <c r="C54" s="183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398</v>
      </c>
      <c r="D55" s="73" t="s">
        <v>416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1574.202</v>
      </c>
      <c r="D57" s="33">
        <f>D58+D59+D60+D61+D62+D64+D63</f>
        <v>1203.4928600000001</v>
      </c>
      <c r="E57" s="34">
        <f>SUM(D57/C57*100)</f>
        <v>76.450980242688047</v>
      </c>
      <c r="F57" s="34">
        <f>SUM(D57-C57)</f>
        <v>-370.70913999999993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1526.1</v>
      </c>
      <c r="D59" s="37">
        <v>1163.4928600000001</v>
      </c>
      <c r="E59" s="38">
        <f t="shared" ref="E59:E99" si="3">SUM(D59/C59*100)</f>
        <v>76.239621256798387</v>
      </c>
      <c r="F59" s="38">
        <f t="shared" ref="F59:F99" si="4">SUM(D59-C59)</f>
        <v>-362.60713999999984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>
        <v>39</v>
      </c>
      <c r="D62" s="37">
        <v>39</v>
      </c>
      <c r="E62" s="38">
        <f t="shared" si="3"/>
        <v>100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41</v>
      </c>
      <c r="B64" s="39" t="s">
        <v>42</v>
      </c>
      <c r="C64" s="37">
        <v>4.1020000000000003</v>
      </c>
      <c r="D64" s="37">
        <v>1</v>
      </c>
      <c r="E64" s="38">
        <f t="shared" si="3"/>
        <v>24.378352023403217</v>
      </c>
      <c r="F64" s="38">
        <f t="shared" si="4"/>
        <v>-3.1020000000000003</v>
      </c>
    </row>
    <row r="65" spans="1:7" s="6" customFormat="1">
      <c r="A65" s="41" t="s">
        <v>43</v>
      </c>
      <c r="B65" s="42" t="s">
        <v>44</v>
      </c>
      <c r="C65" s="32">
        <f>C66</f>
        <v>198.36600000000001</v>
      </c>
      <c r="D65" s="32">
        <f>D66</f>
        <v>163.1653</v>
      </c>
      <c r="E65" s="34">
        <f t="shared" si="3"/>
        <v>82.254670659286361</v>
      </c>
      <c r="F65" s="34">
        <f t="shared" si="4"/>
        <v>-35.200700000000012</v>
      </c>
    </row>
    <row r="66" spans="1:7">
      <c r="A66" s="43" t="s">
        <v>45</v>
      </c>
      <c r="B66" s="44" t="s">
        <v>46</v>
      </c>
      <c r="C66" s="37">
        <v>198.36600000000001</v>
      </c>
      <c r="D66" s="37">
        <v>163.1653</v>
      </c>
      <c r="E66" s="38">
        <f t="shared" si="3"/>
        <v>82.254670659286361</v>
      </c>
      <c r="F66" s="38">
        <f t="shared" si="4"/>
        <v>-35.200700000000012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29.68787</v>
      </c>
      <c r="D67" s="32">
        <f>D71+D70+D72</f>
        <v>20.977869999999999</v>
      </c>
      <c r="E67" s="34">
        <f t="shared" si="3"/>
        <v>70.661418282955296</v>
      </c>
      <c r="F67" s="34">
        <f t="shared" si="4"/>
        <v>-8.7100000000000009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/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214</v>
      </c>
      <c r="B71" s="47" t="s">
        <v>215</v>
      </c>
      <c r="C71" s="37">
        <v>27.68787</v>
      </c>
      <c r="D71" s="37">
        <v>20.977869999999999</v>
      </c>
      <c r="E71" s="34">
        <f t="shared" si="3"/>
        <v>75.765560875574749</v>
      </c>
      <c r="F71" s="34">
        <f t="shared" si="4"/>
        <v>-6.7100000000000009</v>
      </c>
    </row>
    <row r="72" spans="1:7" ht="15.75" customHeight="1">
      <c r="A72" s="46" t="s">
        <v>336</v>
      </c>
      <c r="B72" s="47" t="s">
        <v>339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4997.0712199999998</v>
      </c>
      <c r="D73" s="48">
        <f>SUM(D74:D77)</f>
        <v>2427.1860699999997</v>
      </c>
      <c r="E73" s="34">
        <f t="shared" si="3"/>
        <v>48.572172841675041</v>
      </c>
      <c r="F73" s="34">
        <f t="shared" si="4"/>
        <v>-2569.8851500000001</v>
      </c>
    </row>
    <row r="74" spans="1:7" ht="16.5" customHeight="1">
      <c r="A74" s="35" t="s">
        <v>57</v>
      </c>
      <c r="B74" s="39" t="s">
        <v>58</v>
      </c>
      <c r="C74" s="49"/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7.25" customHeight="1">
      <c r="A75" s="35" t="s">
        <v>59</v>
      </c>
      <c r="B75" s="39" t="s">
        <v>60</v>
      </c>
      <c r="C75" s="49">
        <v>0</v>
      </c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4670.0622199999998</v>
      </c>
      <c r="D76" s="37">
        <v>2216.9770699999999</v>
      </c>
      <c r="E76" s="38">
        <f t="shared" si="3"/>
        <v>47.472109911203709</v>
      </c>
      <c r="F76" s="38">
        <f t="shared" si="4"/>
        <v>-2453.0851499999999</v>
      </c>
    </row>
    <row r="77" spans="1:7">
      <c r="A77" s="35" t="s">
        <v>63</v>
      </c>
      <c r="B77" s="39" t="s">
        <v>64</v>
      </c>
      <c r="C77" s="49">
        <v>327.00900000000001</v>
      </c>
      <c r="D77" s="37">
        <v>210.209</v>
      </c>
      <c r="E77" s="38">
        <f t="shared" si="3"/>
        <v>64.282328620924801</v>
      </c>
      <c r="F77" s="38">
        <f t="shared" si="4"/>
        <v>-116.80000000000001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2647.5423499999997</v>
      </c>
      <c r="D78" s="32">
        <f>SUM(D79:D81)</f>
        <v>1958.2260000000001</v>
      </c>
      <c r="E78" s="34">
        <f t="shared" si="3"/>
        <v>73.963916006858227</v>
      </c>
      <c r="F78" s="34">
        <f t="shared" si="4"/>
        <v>-689.3163499999996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232.12255999999999</v>
      </c>
      <c r="D80" s="37">
        <v>42.264740000000003</v>
      </c>
      <c r="E80" s="38">
        <f t="shared" si="3"/>
        <v>18.207941528819948</v>
      </c>
      <c r="F80" s="38">
        <f t="shared" si="4"/>
        <v>-189.85782</v>
      </c>
    </row>
    <row r="81" spans="1:6">
      <c r="A81" s="35" t="s">
        <v>71</v>
      </c>
      <c r="B81" s="39" t="s">
        <v>72</v>
      </c>
      <c r="C81" s="37">
        <v>2415.4197899999999</v>
      </c>
      <c r="D81" s="37">
        <v>1915.96126</v>
      </c>
      <c r="E81" s="38">
        <f>SUM(D81/C81*100)</f>
        <v>79.322081732219317</v>
      </c>
      <c r="F81" s="38">
        <f t="shared" si="4"/>
        <v>-499.45852999999988</v>
      </c>
    </row>
    <row r="82" spans="1:6" s="6" customFormat="1">
      <c r="A82" s="30" t="s">
        <v>83</v>
      </c>
      <c r="B82" s="31" t="s">
        <v>84</v>
      </c>
      <c r="C82" s="32">
        <f>C83</f>
        <v>8853.2892300000003</v>
      </c>
      <c r="D82" s="32">
        <f>SUM(D83)</f>
        <v>6271.5050199999996</v>
      </c>
      <c r="E82" s="34">
        <f t="shared" si="3"/>
        <v>70.838135489220875</v>
      </c>
      <c r="F82" s="34">
        <f t="shared" si="4"/>
        <v>-2581.7842100000007</v>
      </c>
    </row>
    <row r="83" spans="1:6" ht="18.75" customHeight="1">
      <c r="A83" s="35" t="s">
        <v>85</v>
      </c>
      <c r="B83" s="39" t="s">
        <v>229</v>
      </c>
      <c r="C83" s="37">
        <v>8853.2892300000003</v>
      </c>
      <c r="D83" s="37">
        <v>6271.5050199999996</v>
      </c>
      <c r="E83" s="38">
        <f t="shared" si="3"/>
        <v>70.838135489220875</v>
      </c>
      <c r="F83" s="38">
        <f t="shared" si="4"/>
        <v>-2581.7842100000007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19.446570000000001</v>
      </c>
      <c r="D89" s="32">
        <f>D90+D91+D92+D93+D94</f>
        <v>19.395</v>
      </c>
      <c r="E89" s="38">
        <f t="shared" si="3"/>
        <v>99.734811845996489</v>
      </c>
      <c r="F89" s="22">
        <f>F90+F91+F92+F93+F94</f>
        <v>-5.157000000000167E-2</v>
      </c>
    </row>
    <row r="90" spans="1:6" ht="17.25" customHeight="1">
      <c r="A90" s="35" t="s">
        <v>94</v>
      </c>
      <c r="B90" s="39" t="s">
        <v>95</v>
      </c>
      <c r="C90" s="37">
        <v>19.446570000000001</v>
      </c>
      <c r="D90" s="37">
        <v>19.395</v>
      </c>
      <c r="E90" s="38">
        <f t="shared" si="3"/>
        <v>99.734811845996489</v>
      </c>
      <c r="F90" s="38">
        <f>SUM(D90-C90)</f>
        <v>-5.157000000000167E-2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462">
        <f>C57+C65+C67+C73+C78+C82+C84+C89+C95</f>
        <v>18319.605239999997</v>
      </c>
      <c r="D99" s="462">
        <f>D57+D65+D67+D73+D78+D82+D84+D89+D95</f>
        <v>12063.948120000001</v>
      </c>
      <c r="E99" s="34">
        <f t="shared" si="3"/>
        <v>65.852664192015112</v>
      </c>
      <c r="F99" s="34">
        <f t="shared" si="4"/>
        <v>-6255.6571199999962</v>
      </c>
      <c r="G99" s="200"/>
      <c r="H99" s="151"/>
    </row>
    <row r="100" spans="1:8" ht="13.5" customHeight="1">
      <c r="C100" s="117"/>
      <c r="D100" s="61"/>
    </row>
    <row r="101" spans="1:8" s="65" customFormat="1" ht="12.75">
      <c r="A101" s="63" t="s">
        <v>117</v>
      </c>
      <c r="B101" s="63"/>
      <c r="C101" s="134"/>
      <c r="D101" s="134"/>
    </row>
    <row r="102" spans="1:8" s="65" customFormat="1" ht="12.75">
      <c r="A102" s="66" t="s">
        <v>118</v>
      </c>
      <c r="B102" s="66"/>
      <c r="C102" s="119" t="s">
        <v>119</v>
      </c>
    </row>
    <row r="104" spans="1:8" ht="5.25" customHeight="1"/>
    <row r="143" hidden="1"/>
  </sheetData>
  <customSheetViews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1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5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6"/>
    </customSheetView>
    <customSheetView guid="{B30CE22D-C12F-4E12-8BB9-3AAE0A6991CC}" scale="70" showPageBreaks="1" printArea="1" hiddenRows="1" view="pageBreakPreview" topLeftCell="A54">
      <selection activeCell="F70" sqref="F70"/>
      <pageMargins left="0.70866141732283472" right="0.70866141732283472" top="0.74803149606299213" bottom="0.74803149606299213" header="0.31496062992125984" footer="0.31496062992125984"/>
      <pageSetup paperSize="9" scale="51" orientation="portrait" r:id="rId7"/>
    </customSheetView>
    <customSheetView guid="{1718F1EE-9F48-4DBE-9531-3B70F9C4A5DD}" scale="70" showPageBreaks="1" printArea="1" hiddenRows="1" view="pageBreakPreview" topLeftCell="A37">
      <selection activeCell="D90" sqref="D90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printArea="1" hiddenRows="1" view="pageBreakPreview" topLeftCell="A30">
      <selection activeCell="D99" sqref="D99"/>
      <pageMargins left="0.70866141732283472" right="0.70866141732283472" top="0.74803149606299213" bottom="0.74803149606299213" header="0.31496062992125984" footer="0.31496062992125984"/>
      <pageSetup paperSize="9" scale="5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topLeftCell="A38" zoomScale="70" zoomScaleSheetLayoutView="70" workbookViewId="0">
      <selection activeCell="C86" sqref="C86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46" t="s">
        <v>436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47.25" customHeight="1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2255.07611</v>
      </c>
      <c r="D4" s="5">
        <f>D5+D12+D14+D17+D7</f>
        <v>1534.2775200000001</v>
      </c>
      <c r="E4" s="5">
        <f>SUM(D4/C4*100)</f>
        <v>68.036618063414281</v>
      </c>
      <c r="F4" s="5">
        <f>SUM(D4-C4)</f>
        <v>-720.79858999999988</v>
      </c>
    </row>
    <row r="5" spans="1:6" s="6" customFormat="1">
      <c r="A5" s="3">
        <v>1010000000</v>
      </c>
      <c r="B5" s="4" t="s">
        <v>5</v>
      </c>
      <c r="C5" s="5">
        <f>C6</f>
        <v>111</v>
      </c>
      <c r="D5" s="5">
        <f>D6</f>
        <v>96.349059999999994</v>
      </c>
      <c r="E5" s="5">
        <f t="shared" ref="E5:E48" si="0">SUM(D5/C5*100)</f>
        <v>86.800954954954946</v>
      </c>
      <c r="F5" s="5">
        <f t="shared" ref="F5:F48" si="1">SUM(D5-C5)</f>
        <v>-14.650940000000006</v>
      </c>
    </row>
    <row r="6" spans="1:6">
      <c r="A6" s="7">
        <v>1010200001</v>
      </c>
      <c r="B6" s="8" t="s">
        <v>224</v>
      </c>
      <c r="C6" s="9">
        <v>111</v>
      </c>
      <c r="D6" s="10">
        <v>96.349059999999994</v>
      </c>
      <c r="E6" s="9">
        <f t="shared" ref="E6:E11" si="2">SUM(D6/C6*100)</f>
        <v>86.800954954954946</v>
      </c>
      <c r="F6" s="9">
        <f t="shared" si="1"/>
        <v>-14.650940000000006</v>
      </c>
    </row>
    <row r="7" spans="1:6" ht="31.5">
      <c r="A7" s="3">
        <v>1030000000</v>
      </c>
      <c r="B7" s="13" t="s">
        <v>266</v>
      </c>
      <c r="C7" s="5">
        <f>C8+C10+C9</f>
        <v>493.04000000000008</v>
      </c>
      <c r="D7" s="5">
        <f>D8+D10+D9+D11</f>
        <v>430.01003000000003</v>
      </c>
      <c r="E7" s="5">
        <f t="shared" si="2"/>
        <v>87.216053464221972</v>
      </c>
      <c r="F7" s="5">
        <f t="shared" si="1"/>
        <v>-63.029970000000048</v>
      </c>
    </row>
    <row r="8" spans="1:6">
      <c r="A8" s="7">
        <v>1030223001</v>
      </c>
      <c r="B8" s="8" t="s">
        <v>268</v>
      </c>
      <c r="C8" s="9">
        <v>183.91</v>
      </c>
      <c r="D8" s="10">
        <v>198.09911</v>
      </c>
      <c r="E8" s="9">
        <f t="shared" si="2"/>
        <v>107.715246588005</v>
      </c>
      <c r="F8" s="9">
        <f t="shared" si="1"/>
        <v>14.189109999999999</v>
      </c>
    </row>
    <row r="9" spans="1:6">
      <c r="A9" s="7">
        <v>1030224001</v>
      </c>
      <c r="B9" s="8" t="s">
        <v>274</v>
      </c>
      <c r="C9" s="9">
        <v>1.97</v>
      </c>
      <c r="D9" s="10">
        <v>1.4212499999999999</v>
      </c>
      <c r="E9" s="9">
        <f t="shared" si="2"/>
        <v>72.14467005076142</v>
      </c>
      <c r="F9" s="9">
        <f t="shared" si="1"/>
        <v>-0.54875000000000007</v>
      </c>
    </row>
    <row r="10" spans="1:6">
      <c r="A10" s="7">
        <v>1030225001</v>
      </c>
      <c r="B10" s="8" t="s">
        <v>267</v>
      </c>
      <c r="C10" s="9">
        <v>307.16000000000003</v>
      </c>
      <c r="D10" s="10">
        <v>266.17137000000002</v>
      </c>
      <c r="E10" s="9">
        <f t="shared" si="2"/>
        <v>86.655609454356039</v>
      </c>
      <c r="F10" s="9">
        <f t="shared" si="1"/>
        <v>-40.988630000000001</v>
      </c>
    </row>
    <row r="11" spans="1:6">
      <c r="A11" s="7">
        <v>1030226001</v>
      </c>
      <c r="B11" s="8" t="s">
        <v>276</v>
      </c>
      <c r="C11" s="9">
        <v>0</v>
      </c>
      <c r="D11" s="10">
        <v>-35.681699999999999</v>
      </c>
      <c r="E11" s="9" t="e">
        <f t="shared" si="2"/>
        <v>#DIV/0!</v>
      </c>
      <c r="F11" s="9">
        <f t="shared" si="1"/>
        <v>-35.681699999999999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0.40439999999999998</v>
      </c>
      <c r="E12" s="5">
        <f t="shared" si="0"/>
        <v>8.0879999999999992</v>
      </c>
      <c r="F12" s="5">
        <f t="shared" si="1"/>
        <v>-4.5956000000000001</v>
      </c>
    </row>
    <row r="13" spans="1:6" ht="15.75" customHeight="1">
      <c r="A13" s="7">
        <v>1050300000</v>
      </c>
      <c r="B13" s="11" t="s">
        <v>225</v>
      </c>
      <c r="C13" s="12">
        <v>5</v>
      </c>
      <c r="D13" s="10">
        <v>0.40439999999999998</v>
      </c>
      <c r="E13" s="9">
        <f t="shared" si="0"/>
        <v>8.0879999999999992</v>
      </c>
      <c r="F13" s="9">
        <f t="shared" si="1"/>
        <v>-4.5956000000000001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1641.03611</v>
      </c>
      <c r="D14" s="5">
        <f>D15+D16</f>
        <v>1003.5140299999999</v>
      </c>
      <c r="E14" s="5">
        <f t="shared" si="0"/>
        <v>61.151246086839606</v>
      </c>
      <c r="F14" s="5">
        <f t="shared" si="1"/>
        <v>-637.52208000000007</v>
      </c>
    </row>
    <row r="15" spans="1:6" s="6" customFormat="1" ht="15.75" customHeight="1">
      <c r="A15" s="7">
        <v>1060100000</v>
      </c>
      <c r="B15" s="11" t="s">
        <v>8</v>
      </c>
      <c r="C15" s="9">
        <v>470</v>
      </c>
      <c r="D15" s="10">
        <v>136.7397</v>
      </c>
      <c r="E15" s="9">
        <f t="shared" si="0"/>
        <v>29.093553191489363</v>
      </c>
      <c r="F15" s="9">
        <f>SUM(D15-C15)</f>
        <v>-333.26030000000003</v>
      </c>
    </row>
    <row r="16" spans="1:6" ht="15.75" customHeight="1">
      <c r="A16" s="7">
        <v>1060600000</v>
      </c>
      <c r="B16" s="11" t="s">
        <v>7</v>
      </c>
      <c r="C16" s="9">
        <v>1171.03611</v>
      </c>
      <c r="D16" s="10">
        <v>866.77432999999996</v>
      </c>
      <c r="E16" s="9">
        <f t="shared" si="0"/>
        <v>74.017728624952468</v>
      </c>
      <c r="F16" s="9">
        <f t="shared" si="1"/>
        <v>-304.26178000000004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4</v>
      </c>
      <c r="E17" s="5">
        <f t="shared" si="0"/>
        <v>80</v>
      </c>
      <c r="F17" s="5">
        <f t="shared" si="1"/>
        <v>-1</v>
      </c>
    </row>
    <row r="18" spans="1:6">
      <c r="A18" s="7">
        <v>1080400001</v>
      </c>
      <c r="B18" s="8" t="s">
        <v>223</v>
      </c>
      <c r="C18" s="9">
        <v>5</v>
      </c>
      <c r="D18" s="10">
        <v>4</v>
      </c>
      <c r="E18" s="9">
        <f t="shared" si="0"/>
        <v>80</v>
      </c>
      <c r="F18" s="9">
        <f t="shared" si="1"/>
        <v>-1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230.6</v>
      </c>
      <c r="D25" s="5">
        <f>D26+D29+D31+D34</f>
        <v>353.48306000000002</v>
      </c>
      <c r="E25" s="5">
        <f t="shared" si="0"/>
        <v>153.28840416305292</v>
      </c>
      <c r="F25" s="5">
        <f t="shared" si="1"/>
        <v>122.88306000000003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230.6</v>
      </c>
      <c r="D26" s="5">
        <f>D27</f>
        <v>332.54374999999999</v>
      </c>
      <c r="E26" s="5">
        <f t="shared" si="0"/>
        <v>144.20804423243712</v>
      </c>
      <c r="F26" s="5">
        <f t="shared" si="1"/>
        <v>101.94374999999999</v>
      </c>
    </row>
    <row r="27" spans="1:6" ht="15" customHeight="1">
      <c r="A27" s="16">
        <v>1110502510</v>
      </c>
      <c r="B27" s="17" t="s">
        <v>221</v>
      </c>
      <c r="C27" s="12">
        <v>230.6</v>
      </c>
      <c r="D27" s="10">
        <v>332.54374999999999</v>
      </c>
      <c r="E27" s="5">
        <f t="shared" si="0"/>
        <v>144.20804423243712</v>
      </c>
      <c r="F27" s="9">
        <f t="shared" si="1"/>
        <v>101.94374999999999</v>
      </c>
    </row>
    <row r="28" spans="1:6" ht="19.5" hidden="1" customHeight="1">
      <c r="A28" s="7">
        <v>1110503505</v>
      </c>
      <c r="B28" s="11" t="s">
        <v>220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9">
        <v>1140000000</v>
      </c>
      <c r="B31" s="110" t="s">
        <v>129</v>
      </c>
      <c r="C31" s="5">
        <f>C33+C32</f>
        <v>0</v>
      </c>
      <c r="D31" s="5">
        <f>D33+D32</f>
        <v>4.42</v>
      </c>
      <c r="E31" s="5" t="e">
        <f t="shared" si="0"/>
        <v>#DIV/0!</v>
      </c>
      <c r="F31" s="5">
        <f t="shared" si="1"/>
        <v>4.42</v>
      </c>
    </row>
    <row r="32" spans="1:6" ht="19.5" customHeight="1">
      <c r="A32" s="16">
        <v>1140200000</v>
      </c>
      <c r="B32" s="18" t="s">
        <v>217</v>
      </c>
      <c r="C32" s="9">
        <v>0</v>
      </c>
      <c r="D32" s="10">
        <v>4.42</v>
      </c>
      <c r="E32" s="9" t="e">
        <f t="shared" si="0"/>
        <v>#DIV/0!</v>
      </c>
      <c r="F32" s="9">
        <f t="shared" si="1"/>
        <v>4.42</v>
      </c>
    </row>
    <row r="33" spans="1:8" ht="19.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240</v>
      </c>
      <c r="C34" s="5">
        <f>C35+C36</f>
        <v>0</v>
      </c>
      <c r="D34" s="5">
        <f>D35+D36</f>
        <v>16.519310000000001</v>
      </c>
      <c r="E34" s="5" t="e">
        <f t="shared" si="0"/>
        <v>#DIV/0!</v>
      </c>
      <c r="F34" s="5">
        <f t="shared" si="1"/>
        <v>16.519310000000001</v>
      </c>
    </row>
    <row r="35" spans="1:8" ht="33.75" customHeight="1">
      <c r="A35" s="7">
        <v>1163305010</v>
      </c>
      <c r="B35" s="8" t="s">
        <v>255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37.5" customHeight="1">
      <c r="A36" s="7">
        <v>11607010000</v>
      </c>
      <c r="B36" s="8" t="s">
        <v>414</v>
      </c>
      <c r="C36" s="9">
        <v>0</v>
      </c>
      <c r="D36" s="10">
        <v>16.519310000000001</v>
      </c>
      <c r="E36" s="9" t="e">
        <f t="shared" si="0"/>
        <v>#DIV/0!</v>
      </c>
      <c r="F36" s="9">
        <f t="shared" si="1"/>
        <v>16.519310000000001</v>
      </c>
    </row>
    <row r="37" spans="1:8" s="6" customFormat="1" ht="27" customHeight="1">
      <c r="A37" s="3">
        <v>1000000000</v>
      </c>
      <c r="B37" s="4" t="s">
        <v>16</v>
      </c>
      <c r="C37" s="127">
        <f>SUM(C4,C25)</f>
        <v>2485.6761099999999</v>
      </c>
      <c r="D37" s="127">
        <f>D4+D25</f>
        <v>1887.7605800000001</v>
      </c>
      <c r="E37" s="5">
        <f t="shared" si="0"/>
        <v>75.945557524789507</v>
      </c>
      <c r="F37" s="5">
        <f t="shared" si="1"/>
        <v>-597.91552999999976</v>
      </c>
    </row>
    <row r="38" spans="1:8" s="6" customFormat="1">
      <c r="A38" s="3">
        <v>2000000000</v>
      </c>
      <c r="B38" s="4" t="s">
        <v>17</v>
      </c>
      <c r="C38" s="5">
        <f>C39+C41+C42+C44+C45+C46+C40</f>
        <v>8403.0012299999999</v>
      </c>
      <c r="D38" s="5">
        <f>D39+D41+D42+D44+D45+D46+D40</f>
        <v>3604.7848200000003</v>
      </c>
      <c r="E38" s="5">
        <f t="shared" si="0"/>
        <v>42.898777726348143</v>
      </c>
      <c r="F38" s="5">
        <f t="shared" si="1"/>
        <v>-4798.2164099999991</v>
      </c>
      <c r="G38" s="19"/>
    </row>
    <row r="39" spans="1:8">
      <c r="A39" s="16">
        <v>2021000000</v>
      </c>
      <c r="B39" s="17" t="s">
        <v>18</v>
      </c>
      <c r="C39" s="12">
        <v>730.1</v>
      </c>
      <c r="D39" s="254">
        <v>669.25099999999998</v>
      </c>
      <c r="E39" s="9">
        <f t="shared" si="0"/>
        <v>91.665662238049578</v>
      </c>
      <c r="F39" s="9">
        <f t="shared" si="1"/>
        <v>-60.849000000000046</v>
      </c>
    </row>
    <row r="40" spans="1:8" ht="15.75" customHeight="1">
      <c r="A40" s="16">
        <v>2021500200</v>
      </c>
      <c r="B40" s="17" t="s">
        <v>227</v>
      </c>
      <c r="C40" s="12">
        <v>775.94466</v>
      </c>
      <c r="D40" s="20">
        <v>386.73500000000001</v>
      </c>
      <c r="E40" s="9">
        <f t="shared" si="0"/>
        <v>49.840538885853022</v>
      </c>
      <c r="F40" s="9">
        <f t="shared" si="1"/>
        <v>-389.20965999999999</v>
      </c>
    </row>
    <row r="41" spans="1:8">
      <c r="A41" s="16">
        <v>2022000000</v>
      </c>
      <c r="B41" s="17" t="s">
        <v>19</v>
      </c>
      <c r="C41" s="12">
        <v>3859.1835999999998</v>
      </c>
      <c r="D41" s="10">
        <v>974.86800000000005</v>
      </c>
      <c r="E41" s="9">
        <f t="shared" si="0"/>
        <v>25.260990433313413</v>
      </c>
      <c r="F41" s="9">
        <f t="shared" si="1"/>
        <v>-2884.3155999999999</v>
      </c>
    </row>
    <row r="42" spans="1:8" ht="13.5" customHeight="1">
      <c r="A42" s="16">
        <v>2023000000</v>
      </c>
      <c r="B42" s="17" t="s">
        <v>20</v>
      </c>
      <c r="C42" s="12">
        <v>99.183999999999997</v>
      </c>
      <c r="D42" s="187">
        <v>90.341999999999999</v>
      </c>
      <c r="E42" s="9">
        <f t="shared" si="0"/>
        <v>91.085255686401041</v>
      </c>
      <c r="F42" s="9">
        <f t="shared" si="1"/>
        <v>-8.8419999999999987</v>
      </c>
    </row>
    <row r="43" spans="1:8" hidden="1">
      <c r="A43" s="16">
        <v>2070503010</v>
      </c>
      <c r="B43" s="17" t="s">
        <v>256</v>
      </c>
      <c r="C43" s="12">
        <v>0</v>
      </c>
      <c r="D43" s="187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21</v>
      </c>
      <c r="C44" s="12">
        <v>2250.0001499999998</v>
      </c>
      <c r="D44" s="188">
        <v>825</v>
      </c>
      <c r="E44" s="9">
        <f t="shared" si="0"/>
        <v>36.666664222222387</v>
      </c>
      <c r="F44" s="9">
        <f t="shared" si="1"/>
        <v>-1425.0001499999998</v>
      </c>
    </row>
    <row r="45" spans="1:8" ht="18" customHeight="1">
      <c r="A45" s="16">
        <v>2070000000</v>
      </c>
      <c r="B45" s="18" t="s">
        <v>283</v>
      </c>
      <c r="C45" s="12">
        <v>688.58882000000006</v>
      </c>
      <c r="D45" s="188">
        <v>658.58882000000006</v>
      </c>
      <c r="E45" s="9">
        <f>SUM(D45/C45*100)</f>
        <v>95.643263566201966</v>
      </c>
      <c r="F45" s="9">
        <f t="shared" si="1"/>
        <v>-30</v>
      </c>
      <c r="G45" s="246"/>
      <c r="H45" s="246"/>
    </row>
    <row r="46" spans="1:8" ht="15.75" hidden="1" customHeight="1">
      <c r="A46" s="7">
        <v>2190500005</v>
      </c>
      <c r="B46" s="11" t="s">
        <v>23</v>
      </c>
      <c r="C46" s="10">
        <v>0</v>
      </c>
      <c r="D46" s="10">
        <v>0</v>
      </c>
      <c r="E46" s="5" t="e">
        <f>SUM(D46/C46*100)</f>
        <v>#DIV/0!</v>
      </c>
      <c r="F46" s="5">
        <f>SUM(D46-C46)</f>
        <v>0</v>
      </c>
    </row>
    <row r="47" spans="1:8" s="6" customFormat="1" ht="31.5" hidden="1">
      <c r="A47" s="3">
        <v>3000000000</v>
      </c>
      <c r="B47" s="13" t="s">
        <v>24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25</v>
      </c>
      <c r="C48" s="485">
        <f>SUM(C37,C38,C47)</f>
        <v>10888.67734</v>
      </c>
      <c r="D48" s="477">
        <f>D37+D38</f>
        <v>5492.5454000000009</v>
      </c>
      <c r="E48" s="5">
        <f t="shared" si="0"/>
        <v>50.442723468560423</v>
      </c>
      <c r="F48" s="5">
        <f t="shared" si="1"/>
        <v>-5396.1319399999993</v>
      </c>
      <c r="G48" s="200"/>
      <c r="H48" s="200"/>
    </row>
    <row r="49" spans="1:6" s="6" customFormat="1">
      <c r="A49" s="3"/>
      <c r="B49" s="21" t="s">
        <v>306</v>
      </c>
      <c r="C49" s="93">
        <f>C48-C95</f>
        <v>-145.50009999999929</v>
      </c>
      <c r="D49" s="93">
        <f>D48-D95</f>
        <v>1277.5672000000013</v>
      </c>
      <c r="E49" s="22"/>
      <c r="F49" s="22"/>
    </row>
    <row r="50" spans="1:6" ht="8.25" customHeight="1">
      <c r="A50" s="23"/>
      <c r="B50" s="24"/>
      <c r="C50" s="217"/>
      <c r="D50" s="217"/>
      <c r="E50" s="26"/>
      <c r="F50" s="27"/>
    </row>
    <row r="51" spans="1:6" ht="50.25" customHeight="1">
      <c r="A51" s="28" t="s">
        <v>0</v>
      </c>
      <c r="B51" s="28" t="s">
        <v>26</v>
      </c>
      <c r="C51" s="72" t="s">
        <v>398</v>
      </c>
      <c r="D51" s="73" t="s">
        <v>416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27</v>
      </c>
      <c r="B53" s="31" t="s">
        <v>28</v>
      </c>
      <c r="C53" s="32">
        <f>C54+C55+C56+C57+C58+C60+C59</f>
        <v>1365.1229999999998</v>
      </c>
      <c r="D53" s="253">
        <f>D54+D55+D56+D57+D58+D60+D59</f>
        <v>1109.7564600000001</v>
      </c>
      <c r="E53" s="34">
        <f>SUM(D53/C53*100)</f>
        <v>81.293514210807388</v>
      </c>
      <c r="F53" s="34">
        <f>SUM(D53-C53)</f>
        <v>-255.36653999999976</v>
      </c>
    </row>
    <row r="54" spans="1:6" s="6" customFormat="1" ht="31.5" hidden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1333.1</v>
      </c>
      <c r="D55" s="37">
        <v>1084.7564600000001</v>
      </c>
      <c r="E55" s="38">
        <f t="shared" ref="E55:E95" si="3">SUM(D55/C55*100)</f>
        <v>81.370974420523595</v>
      </c>
      <c r="F55" s="38">
        <f t="shared" ref="F55:F95" si="4">SUM(D55-C55)</f>
        <v>-248.34353999999985</v>
      </c>
    </row>
    <row r="56" spans="1:6" ht="16.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35</v>
      </c>
      <c r="B57" s="39" t="s">
        <v>36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8.75" customHeight="1">
      <c r="A58" s="35" t="s">
        <v>37</v>
      </c>
      <c r="B58" s="39" t="s">
        <v>38</v>
      </c>
      <c r="C58" s="37">
        <v>24</v>
      </c>
      <c r="D58" s="37">
        <v>24</v>
      </c>
      <c r="E58" s="38">
        <f t="shared" si="3"/>
        <v>100</v>
      </c>
      <c r="F58" s="38">
        <f t="shared" si="4"/>
        <v>0</v>
      </c>
    </row>
    <row r="59" spans="1:6" ht="13.5" customHeight="1">
      <c r="A59" s="35" t="s">
        <v>39</v>
      </c>
      <c r="B59" s="39" t="s">
        <v>40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41</v>
      </c>
      <c r="B60" s="39" t="s">
        <v>42</v>
      </c>
      <c r="C60" s="37">
        <v>3.0230000000000001</v>
      </c>
      <c r="D60" s="37">
        <v>1</v>
      </c>
      <c r="E60" s="38">
        <f t="shared" si="3"/>
        <v>33.079722130334105</v>
      </c>
      <c r="F60" s="38">
        <f t="shared" si="4"/>
        <v>-2.0230000000000001</v>
      </c>
    </row>
    <row r="61" spans="1:6" s="6" customFormat="1">
      <c r="A61" s="41" t="s">
        <v>43</v>
      </c>
      <c r="B61" s="42" t="s">
        <v>44</v>
      </c>
      <c r="C61" s="32">
        <f>C62</f>
        <v>99.183999999999997</v>
      </c>
      <c r="D61" s="32">
        <f>D62</f>
        <v>67.422499999999999</v>
      </c>
      <c r="E61" s="34">
        <f t="shared" si="3"/>
        <v>67.977193902242291</v>
      </c>
      <c r="F61" s="34">
        <f t="shared" si="4"/>
        <v>-31.761499999999998</v>
      </c>
    </row>
    <row r="62" spans="1:6">
      <c r="A62" s="43" t="s">
        <v>45</v>
      </c>
      <c r="B62" s="44" t="s">
        <v>46</v>
      </c>
      <c r="C62" s="37">
        <v>99.183999999999997</v>
      </c>
      <c r="D62" s="37">
        <v>67.422499999999999</v>
      </c>
      <c r="E62" s="38">
        <f t="shared" si="3"/>
        <v>67.977193902242291</v>
      </c>
      <c r="F62" s="38">
        <f t="shared" si="4"/>
        <v>-31.761499999999998</v>
      </c>
    </row>
    <row r="63" spans="1:6" s="6" customFormat="1" ht="16.5" customHeight="1">
      <c r="A63" s="30" t="s">
        <v>47</v>
      </c>
      <c r="B63" s="31" t="s">
        <v>48</v>
      </c>
      <c r="C63" s="32">
        <f>C67+C66+C68</f>
        <v>20.32</v>
      </c>
      <c r="D63" s="32">
        <f>D67+D66+D68</f>
        <v>16.189599999999999</v>
      </c>
      <c r="E63" s="34">
        <f t="shared" si="3"/>
        <v>79.673228346456682</v>
      </c>
      <c r="F63" s="34">
        <f t="shared" si="4"/>
        <v>-4.1304000000000016</v>
      </c>
    </row>
    <row r="64" spans="1:6" hidden="1">
      <c r="A64" s="35" t="s">
        <v>49</v>
      </c>
      <c r="B64" s="39" t="s">
        <v>50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51</v>
      </c>
      <c r="B65" s="39" t="s">
        <v>52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53</v>
      </c>
      <c r="B66" s="47" t="s">
        <v>54</v>
      </c>
      <c r="C66" s="96">
        <v>9.9</v>
      </c>
      <c r="D66" s="37">
        <v>9.7696000000000005</v>
      </c>
      <c r="E66" s="34">
        <f t="shared" si="3"/>
        <v>98.682828282828282</v>
      </c>
      <c r="F66" s="34">
        <f t="shared" si="4"/>
        <v>-0.13039999999999985</v>
      </c>
    </row>
    <row r="67" spans="1:7" ht="15.75" customHeight="1">
      <c r="A67" s="46" t="s">
        <v>214</v>
      </c>
      <c r="B67" s="47" t="s">
        <v>215</v>
      </c>
      <c r="C67" s="37">
        <v>8.42</v>
      </c>
      <c r="D67" s="37">
        <v>6.42</v>
      </c>
      <c r="E67" s="34">
        <f t="shared" si="3"/>
        <v>76.24703087885986</v>
      </c>
      <c r="F67" s="34">
        <f t="shared" si="4"/>
        <v>-2</v>
      </c>
    </row>
    <row r="68" spans="1:7" ht="15.75" customHeight="1">
      <c r="A68" s="46" t="s">
        <v>336</v>
      </c>
      <c r="B68" s="47" t="s">
        <v>337</v>
      </c>
      <c r="C68" s="37">
        <v>2</v>
      </c>
      <c r="D68" s="37">
        <v>0</v>
      </c>
      <c r="E68" s="34"/>
      <c r="F68" s="34"/>
    </row>
    <row r="69" spans="1:7" s="6" customFormat="1">
      <c r="A69" s="30" t="s">
        <v>55</v>
      </c>
      <c r="B69" s="31" t="s">
        <v>56</v>
      </c>
      <c r="C69" s="48">
        <f>SUM(C70:C73)</f>
        <v>3964.5612099999998</v>
      </c>
      <c r="D69" s="48">
        <f>SUM(D70:D73)</f>
        <v>226.30199999999999</v>
      </c>
      <c r="E69" s="34">
        <f t="shared" si="3"/>
        <v>5.7081222363067008</v>
      </c>
      <c r="F69" s="34">
        <f t="shared" si="4"/>
        <v>-3738.2592099999997</v>
      </c>
    </row>
    <row r="70" spans="1:7" ht="15" customHeight="1">
      <c r="A70" s="35" t="s">
        <v>57</v>
      </c>
      <c r="B70" s="39" t="s">
        <v>58</v>
      </c>
      <c r="C70" s="49"/>
      <c r="D70" s="37">
        <v>0</v>
      </c>
      <c r="E70" s="38" t="e">
        <f t="shared" si="3"/>
        <v>#DIV/0!</v>
      </c>
      <c r="F70" s="38">
        <f t="shared" si="4"/>
        <v>0</v>
      </c>
    </row>
    <row r="71" spans="1:7" s="6" customFormat="1" ht="18" customHeight="1">
      <c r="A71" s="35" t="s">
        <v>59</v>
      </c>
      <c r="B71" s="39" t="s">
        <v>60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  <c r="G71" s="50"/>
    </row>
    <row r="72" spans="1:7">
      <c r="A72" s="35" t="s">
        <v>61</v>
      </c>
      <c r="B72" s="39" t="s">
        <v>62</v>
      </c>
      <c r="C72" s="49">
        <v>3936.5612099999998</v>
      </c>
      <c r="D72" s="37">
        <v>199.80199999999999</v>
      </c>
      <c r="E72" s="38">
        <f t="shared" si="3"/>
        <v>5.0755466342666118</v>
      </c>
      <c r="F72" s="38">
        <f t="shared" si="4"/>
        <v>-3736.7592099999997</v>
      </c>
    </row>
    <row r="73" spans="1:7">
      <c r="A73" s="35" t="s">
        <v>63</v>
      </c>
      <c r="B73" s="39" t="s">
        <v>64</v>
      </c>
      <c r="C73" s="49">
        <v>28</v>
      </c>
      <c r="D73" s="37">
        <v>26.5</v>
      </c>
      <c r="E73" s="38">
        <f t="shared" si="3"/>
        <v>94.642857142857139</v>
      </c>
      <c r="F73" s="38">
        <f t="shared" si="4"/>
        <v>-1.5</v>
      </c>
    </row>
    <row r="74" spans="1:7" s="6" customFormat="1" ht="15.75" customHeight="1">
      <c r="A74" s="30" t="s">
        <v>65</v>
      </c>
      <c r="B74" s="31" t="s">
        <v>66</v>
      </c>
      <c r="C74" s="32">
        <f>SUM(C75:C77)</f>
        <v>4290.7011899999998</v>
      </c>
      <c r="D74" s="253">
        <f>SUM(D76:D77)</f>
        <v>2285.3208</v>
      </c>
      <c r="E74" s="34">
        <f t="shared" si="3"/>
        <v>53.262175546649992</v>
      </c>
      <c r="F74" s="34">
        <f t="shared" si="4"/>
        <v>-2005.3803899999998</v>
      </c>
    </row>
    <row r="75" spans="1:7" ht="17.25" hidden="1" customHeight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4.25" customHeight="1">
      <c r="A76" s="35" t="s">
        <v>69</v>
      </c>
      <c r="B76" s="51" t="s">
        <v>70</v>
      </c>
      <c r="C76" s="37">
        <v>3050.241</v>
      </c>
      <c r="D76" s="37">
        <v>1463.0811100000001</v>
      </c>
      <c r="E76" s="38">
        <f t="shared" si="3"/>
        <v>47.966082352181353</v>
      </c>
      <c r="F76" s="38">
        <f t="shared" si="4"/>
        <v>-1587.1598899999999</v>
      </c>
    </row>
    <row r="77" spans="1:7">
      <c r="A77" s="35" t="s">
        <v>71</v>
      </c>
      <c r="B77" s="39" t="s">
        <v>72</v>
      </c>
      <c r="C77" s="37">
        <v>1240.46019</v>
      </c>
      <c r="D77" s="37">
        <v>822.23969</v>
      </c>
      <c r="E77" s="38">
        <f>SUM(D77/C77*100)</f>
        <v>66.28505264646985</v>
      </c>
      <c r="F77" s="38">
        <f t="shared" si="4"/>
        <v>-418.22050000000002</v>
      </c>
    </row>
    <row r="78" spans="1:7" s="6" customFormat="1">
      <c r="A78" s="30" t="s">
        <v>83</v>
      </c>
      <c r="B78" s="31" t="s">
        <v>84</v>
      </c>
      <c r="C78" s="32">
        <f>C79</f>
        <v>1292.2880399999999</v>
      </c>
      <c r="D78" s="32">
        <f>SUM(D79)</f>
        <v>509.98683999999997</v>
      </c>
      <c r="E78" s="34">
        <f t="shared" si="3"/>
        <v>39.463867513623356</v>
      </c>
      <c r="F78" s="34">
        <f t="shared" si="4"/>
        <v>-782.30119999999988</v>
      </c>
    </row>
    <row r="79" spans="1:7" ht="20.25" customHeight="1">
      <c r="A79" s="35" t="s">
        <v>85</v>
      </c>
      <c r="B79" s="39" t="s">
        <v>229</v>
      </c>
      <c r="C79" s="37">
        <v>1292.2880399999999</v>
      </c>
      <c r="D79" s="37">
        <v>509.98683999999997</v>
      </c>
      <c r="E79" s="38">
        <f t="shared" si="3"/>
        <v>39.463867513623356</v>
      </c>
      <c r="F79" s="38">
        <f t="shared" si="4"/>
        <v>-782.30119999999988</v>
      </c>
    </row>
    <row r="80" spans="1:7" s="6" customFormat="1" ht="0.75" customHeight="1">
      <c r="A80" s="52">
        <v>1000</v>
      </c>
      <c r="B80" s="31" t="s">
        <v>86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87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88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89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90</v>
      </c>
      <c r="B84" s="39" t="s">
        <v>91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92</v>
      </c>
      <c r="B85" s="31" t="s">
        <v>93</v>
      </c>
      <c r="C85" s="32">
        <f>C86+C87+C88+C89+C90</f>
        <v>2</v>
      </c>
      <c r="D85" s="32">
        <f>D86+D87+D88+D89+D90</f>
        <v>0</v>
      </c>
      <c r="E85" s="38">
        <f t="shared" si="3"/>
        <v>0</v>
      </c>
      <c r="F85" s="22">
        <f>F86+F87+F88+F89+F90</f>
        <v>-2</v>
      </c>
    </row>
    <row r="86" spans="1:6" ht="15" customHeight="1">
      <c r="A86" s="35" t="s">
        <v>94</v>
      </c>
      <c r="B86" s="39" t="s">
        <v>95</v>
      </c>
      <c r="C86" s="236">
        <v>2</v>
      </c>
      <c r="D86" s="236">
        <v>0</v>
      </c>
      <c r="E86" s="38">
        <f t="shared" si="3"/>
        <v>0</v>
      </c>
      <c r="F86" s="38">
        <f>SUM(D86-C86)</f>
        <v>-2</v>
      </c>
    </row>
    <row r="87" spans="1:6" ht="15.75" hidden="1" customHeight="1">
      <c r="A87" s="35" t="s">
        <v>96</v>
      </c>
      <c r="B87" s="39" t="s">
        <v>97</v>
      </c>
      <c r="C87" s="236"/>
      <c r="D87" s="236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98</v>
      </c>
      <c r="B88" s="39" t="s">
        <v>99</v>
      </c>
      <c r="C88" s="236"/>
      <c r="D88" s="236"/>
      <c r="E88" s="38" t="e">
        <f t="shared" si="3"/>
        <v>#DIV/0!</v>
      </c>
      <c r="F88" s="38"/>
    </row>
    <row r="89" spans="1:6" ht="15.75" hidden="1" customHeight="1">
      <c r="A89" s="35" t="s">
        <v>100</v>
      </c>
      <c r="B89" s="39" t="s">
        <v>101</v>
      </c>
      <c r="C89" s="236"/>
      <c r="D89" s="236"/>
      <c r="E89" s="38" t="e">
        <f t="shared" si="3"/>
        <v>#DIV/0!</v>
      </c>
      <c r="F89" s="38"/>
    </row>
    <row r="90" spans="1:6" ht="15.75" hidden="1" customHeight="1">
      <c r="A90" s="35" t="s">
        <v>102</v>
      </c>
      <c r="B90" s="39" t="s">
        <v>103</v>
      </c>
      <c r="C90" s="236"/>
      <c r="D90" s="236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112</v>
      </c>
      <c r="C91" s="237">
        <f>C92+C93+C94</f>
        <v>0</v>
      </c>
      <c r="D91" s="237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113</v>
      </c>
      <c r="C92" s="238"/>
      <c r="D92" s="236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114</v>
      </c>
      <c r="C93" s="238"/>
      <c r="D93" s="236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115</v>
      </c>
      <c r="C94" s="239">
        <v>0</v>
      </c>
      <c r="D94" s="240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116</v>
      </c>
      <c r="C95" s="477">
        <f>C53+C61+C63+C69+C74+C78+C85</f>
        <v>11034.177439999999</v>
      </c>
      <c r="D95" s="477">
        <f>D53+D61+D63+D69+D74+D78+D85</f>
        <v>4214.9781999999996</v>
      </c>
      <c r="E95" s="34">
        <f t="shared" si="3"/>
        <v>38.199296892945377</v>
      </c>
      <c r="F95" s="34">
        <f t="shared" si="4"/>
        <v>-6819.1992399999999</v>
      </c>
    </row>
    <row r="96" spans="1:6" ht="16.5" customHeight="1">
      <c r="C96" s="126"/>
      <c r="D96" s="101"/>
    </row>
    <row r="97" spans="1:4" s="113" customFormat="1" ht="20.25" customHeight="1">
      <c r="A97" s="111" t="s">
        <v>117</v>
      </c>
      <c r="B97" s="111"/>
      <c r="C97" s="129"/>
      <c r="D97" s="112"/>
    </row>
    <row r="98" spans="1:4" s="113" customFormat="1" ht="13.5" customHeight="1">
      <c r="A98" s="114" t="s">
        <v>118</v>
      </c>
      <c r="B98" s="114"/>
      <c r="C98" s="118" t="s">
        <v>119</v>
      </c>
    </row>
    <row r="100" spans="1:4" ht="5.25" customHeight="1"/>
  </sheetData>
  <customSheetViews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1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2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3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5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6"/>
    </customSheetView>
    <customSheetView guid="{B30CE22D-C12F-4E12-8BB9-3AAE0A6991CC}" scale="70" showPageBreaks="1" hiddenRows="1" view="pageBreakPreview" topLeftCell="A32">
      <selection activeCell="F67" sqref="F67"/>
      <pageMargins left="0.70866141732283472" right="0.70866141732283472" top="0.74803149606299213" bottom="0.74803149606299213" header="0.31496062992125984" footer="0.31496062992125984"/>
      <pageSetup paperSize="9" scale="52" orientation="portrait" r:id="rId7"/>
    </customSheetView>
    <customSheetView guid="{1718F1EE-9F48-4DBE-9531-3B70F9C4A5DD}" scale="70" showPageBreaks="1" hiddenRows="1" view="pageBreakPreview" topLeftCell="A35">
      <selection activeCell="D77" sqref="D77"/>
      <pageMargins left="0.7" right="0.7" top="0.75" bottom="0.75" header="0.3" footer="0.3"/>
      <pageSetup paperSize="9" scale="64" orientation="portrait" r:id="rId8"/>
    </customSheetView>
    <customSheetView guid="{61528DAC-5C4C-48F4-ADE2-8A724B05A086}" scale="70" showPageBreaks="1" hiddenRows="1" view="pageBreakPreview" topLeftCell="A32">
      <selection activeCell="C72" sqref="C72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topLeftCell="EA4" zoomScale="70" zoomScaleSheetLayoutView="70" workbookViewId="0">
      <selection activeCell="CO15" sqref="CO15"/>
    </sheetView>
  </sheetViews>
  <sheetFormatPr defaultRowHeight="15"/>
  <cols>
    <col min="1" max="1" width="6.140625" style="153" customWidth="1"/>
    <col min="2" max="2" width="26.42578125" style="153" customWidth="1"/>
    <col min="3" max="3" width="18" style="153" customWidth="1"/>
    <col min="4" max="4" width="16.5703125" style="154" customWidth="1"/>
    <col min="5" max="5" width="9.28515625" style="153" customWidth="1"/>
    <col min="6" max="6" width="15.42578125" style="153" customWidth="1"/>
    <col min="7" max="7" width="15.28515625" style="153" customWidth="1"/>
    <col min="8" max="8" width="9" style="153" customWidth="1"/>
    <col min="9" max="9" width="13.28515625" style="153" customWidth="1"/>
    <col min="10" max="10" width="13.5703125" style="153" customWidth="1"/>
    <col min="11" max="11" width="11" style="153" customWidth="1"/>
    <col min="12" max="12" width="13.85546875" style="153" customWidth="1"/>
    <col min="13" max="13" width="14.85546875" style="153" customWidth="1"/>
    <col min="14" max="14" width="10.7109375" style="153" customWidth="1"/>
    <col min="15" max="15" width="12.42578125" style="153" customWidth="1"/>
    <col min="16" max="16" width="15.7109375" style="153" customWidth="1"/>
    <col min="17" max="17" width="10.140625" style="153" customWidth="1"/>
    <col min="18" max="18" width="16.7109375" style="153" bestFit="1" customWidth="1"/>
    <col min="19" max="19" width="14" style="153" customWidth="1"/>
    <col min="20" max="20" width="10" style="153" customWidth="1"/>
    <col min="21" max="21" width="10.5703125" style="153" customWidth="1"/>
    <col min="22" max="22" width="16.28515625" style="153" customWidth="1"/>
    <col min="23" max="23" width="12.28515625" style="153" customWidth="1"/>
    <col min="24" max="24" width="13.28515625" style="153" customWidth="1"/>
    <col min="25" max="25" width="11.5703125" style="153" customWidth="1"/>
    <col min="26" max="26" width="9.7109375" style="153" customWidth="1"/>
    <col min="27" max="28" width="14.85546875" style="153" customWidth="1"/>
    <col min="29" max="29" width="10.7109375" style="153" customWidth="1"/>
    <col min="30" max="30" width="14.5703125" style="153" customWidth="1"/>
    <col min="31" max="31" width="16.5703125" style="153" customWidth="1"/>
    <col min="32" max="32" width="10" style="153" customWidth="1"/>
    <col min="33" max="33" width="13.85546875" style="153" customWidth="1"/>
    <col min="34" max="34" width="12.28515625" style="153" customWidth="1"/>
    <col min="35" max="35" width="11.85546875" style="153" customWidth="1"/>
    <col min="36" max="36" width="12.85546875" style="153" customWidth="1"/>
    <col min="37" max="37" width="8.7109375" style="153" customWidth="1"/>
    <col min="38" max="38" width="13.7109375" style="153" customWidth="1"/>
    <col min="39" max="39" width="10.28515625" style="153" customWidth="1"/>
    <col min="40" max="40" width="10.42578125" style="153" customWidth="1"/>
    <col min="41" max="41" width="16.28515625" style="153" customWidth="1"/>
    <col min="42" max="42" width="14.28515625" style="153" customWidth="1"/>
    <col min="43" max="43" width="16.140625" style="153" customWidth="1"/>
    <col min="44" max="44" width="9.42578125" style="153" customWidth="1"/>
    <col min="45" max="45" width="12.85546875" style="153" customWidth="1"/>
    <col min="46" max="46" width="13.28515625" style="153" customWidth="1"/>
    <col min="47" max="47" width="10.425781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3.28515625" style="153" customWidth="1"/>
    <col min="52" max="52" width="12.85546875" style="153" customWidth="1"/>
    <col min="53" max="53" width="11.7109375" style="153" customWidth="1"/>
    <col min="54" max="56" width="9.85546875" style="153" hidden="1" customWidth="1"/>
    <col min="57" max="57" width="16.42578125" style="153" customWidth="1"/>
    <col min="58" max="58" width="14.85546875" style="153" customWidth="1"/>
    <col min="59" max="59" width="16" style="153" customWidth="1"/>
    <col min="60" max="61" width="9.7109375" style="153" hidden="1" customWidth="1"/>
    <col min="62" max="62" width="17.7109375" style="153" hidden="1" customWidth="1"/>
    <col min="63" max="63" width="0.42578125" style="153" customWidth="1"/>
    <col min="64" max="64" width="20.5703125" style="153" hidden="1" customWidth="1"/>
    <col min="65" max="65" width="10.140625" style="153" hidden="1" customWidth="1"/>
    <col min="66" max="66" width="12.7109375" style="153" customWidth="1"/>
    <col min="67" max="67" width="15.28515625" style="153" customWidth="1"/>
    <col min="68" max="68" width="18.5703125" style="153" customWidth="1"/>
    <col min="69" max="69" width="15.28515625" style="153" customWidth="1"/>
    <col min="70" max="70" width="15" style="153" customWidth="1"/>
    <col min="71" max="71" width="12.42578125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5.85546875" style="153" customWidth="1"/>
    <col min="79" max="79" width="15.5703125" style="153" customWidth="1"/>
    <col min="80" max="80" width="14.28515625" style="153" customWidth="1"/>
    <col min="81" max="81" width="15.28515625" style="153" customWidth="1"/>
    <col min="82" max="82" width="15.7109375" style="153" customWidth="1"/>
    <col min="83" max="83" width="12.140625" style="153" customWidth="1"/>
    <col min="84" max="84" width="16.5703125" style="153" customWidth="1"/>
    <col min="85" max="85" width="15.7109375" style="153" customWidth="1"/>
    <col min="86" max="86" width="12.5703125" style="153" customWidth="1"/>
    <col min="87" max="87" width="16.7109375" style="153" customWidth="1"/>
    <col min="88" max="88" width="16" style="153" customWidth="1"/>
    <col min="89" max="89" width="11.140625" style="153" customWidth="1"/>
    <col min="90" max="90" width="14" style="153" customWidth="1"/>
    <col min="91" max="91" width="16" style="153" customWidth="1"/>
    <col min="92" max="92" width="11.28515625" style="153" customWidth="1"/>
    <col min="93" max="93" width="19.85546875" style="153" customWidth="1"/>
    <col min="94" max="94" width="15.7109375" style="153" customWidth="1"/>
    <col min="95" max="95" width="11.140625" style="153" customWidth="1"/>
    <col min="96" max="96" width="21.42578125" style="153" customWidth="1"/>
    <col min="97" max="97" width="19.7109375" style="153" customWidth="1"/>
    <col min="98" max="98" width="17.7109375" style="153" customWidth="1"/>
    <col min="99" max="99" width="15" style="153" customWidth="1"/>
    <col min="100" max="100" width="6.7109375" style="153" customWidth="1"/>
    <col min="101" max="101" width="9.8554687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0.140625" style="153" hidden="1" customWidth="1"/>
    <col min="111" max="111" width="17.57031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3.28515625" style="153" customWidth="1"/>
    <col min="131" max="131" width="10.85546875" style="153" customWidth="1"/>
    <col min="132" max="132" width="11.85546875" style="153" customWidth="1"/>
    <col min="133" max="133" width="13.42578125" style="153" customWidth="1"/>
    <col min="134" max="134" width="10.140625" style="153" customWidth="1"/>
    <col min="135" max="135" width="18" style="153" customWidth="1"/>
    <col min="136" max="136" width="14.85546875" style="153" customWidth="1"/>
    <col min="137" max="137" width="7.7109375" style="153" customWidth="1"/>
    <col min="138" max="138" width="14.7109375" style="153" customWidth="1"/>
    <col min="139" max="139" width="14.28515625" style="153" customWidth="1"/>
    <col min="140" max="140" width="7.140625" style="153" customWidth="1"/>
    <col min="141" max="141" width="16.5703125" style="153" customWidth="1"/>
    <col min="142" max="142" width="14.85546875" style="153" customWidth="1"/>
    <col min="143" max="143" width="10.140625" style="153" customWidth="1"/>
    <col min="144" max="144" width="13.28515625" style="153" customWidth="1"/>
    <col min="145" max="145" width="10.85546875" style="153" customWidth="1"/>
    <col min="146" max="146" width="11.42578125" style="153" customWidth="1"/>
    <col min="147" max="147" width="11.85546875" style="153" customWidth="1"/>
    <col min="148" max="148" width="14.140625" style="153" customWidth="1"/>
    <col min="149" max="149" width="10" style="153" customWidth="1"/>
    <col min="150" max="150" width="8.28515625" style="153" customWidth="1"/>
    <col min="151" max="151" width="8.5703125" style="153" customWidth="1"/>
    <col min="152" max="152" width="12.5703125" style="153" customWidth="1"/>
    <col min="153" max="153" width="16.140625" style="153" customWidth="1"/>
    <col min="154" max="154" width="19" style="153" customWidth="1"/>
    <col min="155" max="155" width="12.7109375" style="153" customWidth="1"/>
    <col min="156" max="156" width="14.85546875" style="153" customWidth="1"/>
    <col min="157" max="16384" width="9.140625" style="153"/>
  </cols>
  <sheetData>
    <row r="1" spans="1:159" ht="18" customHeight="1">
      <c r="X1" s="526" t="s">
        <v>134</v>
      </c>
      <c r="Y1" s="526"/>
      <c r="Z1" s="526"/>
      <c r="AA1" s="156"/>
      <c r="AB1" s="156"/>
      <c r="AC1" s="156"/>
      <c r="AD1" s="521"/>
      <c r="AE1" s="521"/>
      <c r="AF1" s="521"/>
      <c r="AG1" s="157"/>
      <c r="AH1" s="157"/>
      <c r="AI1" s="157"/>
      <c r="AJ1" s="157"/>
      <c r="AK1" s="157"/>
      <c r="AL1" s="157"/>
    </row>
    <row r="2" spans="1:159" ht="19.5" customHeight="1">
      <c r="X2" s="157" t="s">
        <v>135</v>
      </c>
      <c r="Y2" s="157"/>
      <c r="Z2" s="157"/>
      <c r="AA2" s="155"/>
      <c r="AB2" s="155"/>
      <c r="AC2" s="155"/>
      <c r="AD2" s="521"/>
      <c r="AE2" s="521"/>
      <c r="AF2" s="521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344"/>
      <c r="C3" s="344"/>
      <c r="D3" s="345"/>
      <c r="E3" s="344"/>
      <c r="F3" s="344"/>
      <c r="G3" s="344"/>
      <c r="H3" s="344"/>
      <c r="I3" s="344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531" t="s">
        <v>136</v>
      </c>
      <c r="Y3" s="531"/>
      <c r="Z3" s="531"/>
      <c r="AA3" s="158"/>
      <c r="AB3" s="158"/>
      <c r="AC3" s="158"/>
      <c r="AD3" s="525"/>
      <c r="AE3" s="525"/>
      <c r="AF3" s="525"/>
      <c r="AG3" s="159"/>
      <c r="AH3" s="159"/>
      <c r="AI3" s="159"/>
      <c r="AJ3" s="159"/>
      <c r="AK3" s="159"/>
      <c r="AL3" s="159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29" t="s">
        <v>137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160"/>
      <c r="AB4" s="160"/>
      <c r="AC4" s="160"/>
      <c r="AD4" s="160"/>
      <c r="AE4" s="160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20.25" customHeight="1">
      <c r="B5" s="527" t="s">
        <v>440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161"/>
      <c r="AB5" s="161"/>
      <c r="AC5" s="161"/>
      <c r="AD5" s="161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347"/>
      <c r="C6" s="348"/>
      <c r="D6" s="349"/>
      <c r="E6" s="347"/>
      <c r="F6" s="347"/>
      <c r="G6" s="350"/>
      <c r="H6" s="350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347"/>
      <c r="Z6" s="350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2" customFormat="1" ht="15" customHeight="1">
      <c r="A7" s="520" t="s">
        <v>138</v>
      </c>
      <c r="B7" s="520" t="s">
        <v>139</v>
      </c>
      <c r="C7" s="511" t="s">
        <v>140</v>
      </c>
      <c r="D7" s="512"/>
      <c r="E7" s="513"/>
      <c r="F7" s="272" t="s">
        <v>141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4"/>
      <c r="DD7" s="273"/>
      <c r="DE7" s="273"/>
      <c r="DF7" s="274"/>
      <c r="DG7" s="511" t="s">
        <v>142</v>
      </c>
      <c r="DH7" s="512"/>
      <c r="DI7" s="513"/>
      <c r="DJ7" s="511"/>
      <c r="DK7" s="512"/>
      <c r="DL7" s="512"/>
      <c r="DM7" s="512"/>
      <c r="DN7" s="512"/>
      <c r="DO7" s="512"/>
      <c r="DP7" s="512"/>
      <c r="DQ7" s="512"/>
      <c r="DR7" s="512"/>
      <c r="DS7" s="512"/>
      <c r="DT7" s="512"/>
      <c r="DU7" s="512"/>
      <c r="DV7" s="512"/>
      <c r="DW7" s="512"/>
      <c r="DX7" s="512"/>
      <c r="DY7" s="512"/>
      <c r="DZ7" s="512"/>
      <c r="EA7" s="512"/>
      <c r="EB7" s="512"/>
      <c r="EC7" s="512"/>
      <c r="ED7" s="512"/>
      <c r="EE7" s="512"/>
      <c r="EF7" s="512"/>
      <c r="EG7" s="512"/>
      <c r="EH7" s="512"/>
      <c r="EI7" s="512"/>
      <c r="EJ7" s="512"/>
      <c r="EK7" s="512"/>
      <c r="EL7" s="512"/>
      <c r="EM7" s="512"/>
      <c r="EN7" s="512"/>
      <c r="EO7" s="512"/>
      <c r="EP7" s="512"/>
      <c r="EQ7" s="512"/>
      <c r="ER7" s="512"/>
      <c r="ES7" s="512"/>
      <c r="ET7" s="512"/>
      <c r="EU7" s="512"/>
      <c r="EV7" s="513"/>
      <c r="EW7" s="511" t="s">
        <v>143</v>
      </c>
      <c r="EX7" s="512"/>
      <c r="EY7" s="513"/>
    </row>
    <row r="8" spans="1:159" s="162" customFormat="1" ht="15" customHeight="1">
      <c r="A8" s="520"/>
      <c r="B8" s="520"/>
      <c r="C8" s="514"/>
      <c r="D8" s="515"/>
      <c r="E8" s="516"/>
      <c r="F8" s="514" t="s">
        <v>144</v>
      </c>
      <c r="G8" s="515"/>
      <c r="H8" s="516"/>
      <c r="I8" s="522" t="s">
        <v>145</v>
      </c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4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6"/>
      <c r="BT8" s="277"/>
      <c r="BU8" s="277"/>
      <c r="BV8" s="277"/>
      <c r="BW8" s="278"/>
      <c r="BX8" s="278"/>
      <c r="BY8" s="278"/>
      <c r="BZ8" s="520" t="s">
        <v>146</v>
      </c>
      <c r="CA8" s="520"/>
      <c r="CB8" s="520"/>
      <c r="CC8" s="517" t="s">
        <v>145</v>
      </c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279"/>
      <c r="CP8" s="279"/>
      <c r="CQ8" s="279"/>
      <c r="CR8" s="279"/>
      <c r="CS8" s="279"/>
      <c r="CT8" s="279"/>
      <c r="CU8" s="280"/>
      <c r="CV8" s="280"/>
      <c r="CW8" s="281"/>
      <c r="CX8" s="514" t="s">
        <v>147</v>
      </c>
      <c r="CY8" s="515"/>
      <c r="CZ8" s="516"/>
      <c r="DA8" s="508"/>
      <c r="DB8" s="509"/>
      <c r="DC8" s="510"/>
      <c r="DD8" s="508"/>
      <c r="DE8" s="509"/>
      <c r="DF8" s="510"/>
      <c r="DG8" s="514"/>
      <c r="DH8" s="515"/>
      <c r="DI8" s="516"/>
      <c r="DJ8" s="514" t="s">
        <v>145</v>
      </c>
      <c r="DK8" s="515"/>
      <c r="DL8" s="515"/>
      <c r="DM8" s="515"/>
      <c r="DN8" s="515"/>
      <c r="DO8" s="515"/>
      <c r="DP8" s="515"/>
      <c r="DQ8" s="515"/>
      <c r="DR8" s="515"/>
      <c r="DS8" s="515"/>
      <c r="DT8" s="515"/>
      <c r="DU8" s="515"/>
      <c r="DV8" s="515"/>
      <c r="DW8" s="515"/>
      <c r="DX8" s="515"/>
      <c r="DY8" s="515"/>
      <c r="DZ8" s="515"/>
      <c r="EA8" s="515"/>
      <c r="EB8" s="515"/>
      <c r="EC8" s="515"/>
      <c r="ED8" s="515"/>
      <c r="EE8" s="515"/>
      <c r="EF8" s="515"/>
      <c r="EG8" s="515"/>
      <c r="EH8" s="515"/>
      <c r="EI8" s="515"/>
      <c r="EJ8" s="515"/>
      <c r="EK8" s="515"/>
      <c r="EL8" s="515"/>
      <c r="EM8" s="515"/>
      <c r="EN8" s="515"/>
      <c r="EO8" s="515"/>
      <c r="EP8" s="515"/>
      <c r="EQ8" s="515"/>
      <c r="ER8" s="515"/>
      <c r="ES8" s="515"/>
      <c r="ET8" s="515"/>
      <c r="EU8" s="515"/>
      <c r="EV8" s="516"/>
      <c r="EW8" s="514"/>
      <c r="EX8" s="515"/>
      <c r="EY8" s="516"/>
    </row>
    <row r="9" spans="1:159" s="162" customFormat="1" ht="15" customHeight="1">
      <c r="A9" s="520"/>
      <c r="B9" s="520"/>
      <c r="C9" s="514"/>
      <c r="D9" s="515"/>
      <c r="E9" s="516"/>
      <c r="F9" s="514"/>
      <c r="G9" s="515"/>
      <c r="H9" s="516"/>
      <c r="I9" s="511" t="s">
        <v>148</v>
      </c>
      <c r="J9" s="512"/>
      <c r="K9" s="513"/>
      <c r="L9" s="511" t="s">
        <v>278</v>
      </c>
      <c r="M9" s="512"/>
      <c r="N9" s="513"/>
      <c r="O9" s="511" t="s">
        <v>281</v>
      </c>
      <c r="P9" s="512"/>
      <c r="Q9" s="513"/>
      <c r="R9" s="511" t="s">
        <v>279</v>
      </c>
      <c r="S9" s="512"/>
      <c r="T9" s="513"/>
      <c r="U9" s="511" t="s">
        <v>280</v>
      </c>
      <c r="V9" s="512"/>
      <c r="W9" s="513"/>
      <c r="X9" s="511" t="s">
        <v>149</v>
      </c>
      <c r="Y9" s="512"/>
      <c r="Z9" s="513"/>
      <c r="AA9" s="511" t="s">
        <v>150</v>
      </c>
      <c r="AB9" s="512"/>
      <c r="AC9" s="513"/>
      <c r="AD9" s="511" t="s">
        <v>151</v>
      </c>
      <c r="AE9" s="512"/>
      <c r="AF9" s="513"/>
      <c r="AG9" s="520" t="s">
        <v>152</v>
      </c>
      <c r="AH9" s="520"/>
      <c r="AI9" s="520"/>
      <c r="AJ9" s="511" t="s">
        <v>243</v>
      </c>
      <c r="AK9" s="512"/>
      <c r="AL9" s="513"/>
      <c r="AM9" s="511" t="s">
        <v>153</v>
      </c>
      <c r="AN9" s="512"/>
      <c r="AO9" s="513"/>
      <c r="AP9" s="511" t="s">
        <v>324</v>
      </c>
      <c r="AQ9" s="512"/>
      <c r="AR9" s="513"/>
      <c r="AS9" s="511" t="s">
        <v>154</v>
      </c>
      <c r="AT9" s="512"/>
      <c r="AU9" s="513"/>
      <c r="AV9" s="511" t="s">
        <v>155</v>
      </c>
      <c r="AW9" s="512"/>
      <c r="AX9" s="513"/>
      <c r="AY9" s="511" t="s">
        <v>245</v>
      </c>
      <c r="AZ9" s="512"/>
      <c r="BA9" s="513"/>
      <c r="BB9" s="511" t="s">
        <v>334</v>
      </c>
      <c r="BC9" s="512"/>
      <c r="BD9" s="513"/>
      <c r="BE9" s="511" t="s">
        <v>397</v>
      </c>
      <c r="BF9" s="512"/>
      <c r="BG9" s="513"/>
      <c r="BH9" s="511" t="s">
        <v>156</v>
      </c>
      <c r="BI9" s="512"/>
      <c r="BJ9" s="513"/>
      <c r="BK9" s="511" t="s">
        <v>271</v>
      </c>
      <c r="BL9" s="512"/>
      <c r="BM9" s="513"/>
      <c r="BN9" s="511" t="s">
        <v>241</v>
      </c>
      <c r="BO9" s="512"/>
      <c r="BP9" s="513"/>
      <c r="BQ9" s="511" t="s">
        <v>157</v>
      </c>
      <c r="BR9" s="512"/>
      <c r="BS9" s="513"/>
      <c r="BT9" s="511" t="s">
        <v>158</v>
      </c>
      <c r="BU9" s="512"/>
      <c r="BV9" s="513"/>
      <c r="BW9" s="514" t="s">
        <v>159</v>
      </c>
      <c r="BX9" s="515"/>
      <c r="BY9" s="515"/>
      <c r="BZ9" s="520"/>
      <c r="CA9" s="520"/>
      <c r="CB9" s="520"/>
      <c r="CC9" s="511" t="s">
        <v>325</v>
      </c>
      <c r="CD9" s="512"/>
      <c r="CE9" s="513"/>
      <c r="CF9" s="511" t="s">
        <v>326</v>
      </c>
      <c r="CG9" s="512"/>
      <c r="CH9" s="513"/>
      <c r="CI9" s="511" t="s">
        <v>160</v>
      </c>
      <c r="CJ9" s="512"/>
      <c r="CK9" s="513"/>
      <c r="CL9" s="511" t="s">
        <v>161</v>
      </c>
      <c r="CM9" s="512"/>
      <c r="CN9" s="513"/>
      <c r="CO9" s="511" t="s">
        <v>21</v>
      </c>
      <c r="CP9" s="512"/>
      <c r="CQ9" s="513"/>
      <c r="CR9" s="511" t="s">
        <v>288</v>
      </c>
      <c r="CS9" s="512"/>
      <c r="CT9" s="513"/>
      <c r="CU9" s="511" t="s">
        <v>327</v>
      </c>
      <c r="CV9" s="512"/>
      <c r="CW9" s="513"/>
      <c r="CX9" s="514"/>
      <c r="CY9" s="515"/>
      <c r="CZ9" s="516"/>
      <c r="DA9" s="511" t="s">
        <v>256</v>
      </c>
      <c r="DB9" s="512"/>
      <c r="DC9" s="513"/>
      <c r="DD9" s="520" t="s">
        <v>162</v>
      </c>
      <c r="DE9" s="520"/>
      <c r="DF9" s="520"/>
      <c r="DG9" s="514"/>
      <c r="DH9" s="515"/>
      <c r="DI9" s="516"/>
      <c r="DJ9" s="540" t="s">
        <v>163</v>
      </c>
      <c r="DK9" s="541"/>
      <c r="DL9" s="542"/>
      <c r="DM9" s="534" t="s">
        <v>141</v>
      </c>
      <c r="DN9" s="535"/>
      <c r="DO9" s="535"/>
      <c r="DP9" s="535"/>
      <c r="DQ9" s="535"/>
      <c r="DR9" s="535"/>
      <c r="DS9" s="535"/>
      <c r="DT9" s="535"/>
      <c r="DU9" s="535"/>
      <c r="DV9" s="535"/>
      <c r="DW9" s="535"/>
      <c r="DX9" s="536"/>
      <c r="DY9" s="540" t="s">
        <v>164</v>
      </c>
      <c r="DZ9" s="541"/>
      <c r="EA9" s="542"/>
      <c r="EB9" s="540" t="s">
        <v>165</v>
      </c>
      <c r="EC9" s="541"/>
      <c r="ED9" s="542"/>
      <c r="EE9" s="540" t="s">
        <v>166</v>
      </c>
      <c r="EF9" s="541"/>
      <c r="EG9" s="542"/>
      <c r="EH9" s="540" t="s">
        <v>167</v>
      </c>
      <c r="EI9" s="541"/>
      <c r="EJ9" s="542"/>
      <c r="EK9" s="511" t="s">
        <v>282</v>
      </c>
      <c r="EL9" s="512"/>
      <c r="EM9" s="513"/>
      <c r="EN9" s="511" t="s">
        <v>168</v>
      </c>
      <c r="EO9" s="512"/>
      <c r="EP9" s="513"/>
      <c r="EQ9" s="511" t="s">
        <v>314</v>
      </c>
      <c r="ER9" s="512"/>
      <c r="ES9" s="513"/>
      <c r="ET9" s="520" t="s">
        <v>284</v>
      </c>
      <c r="EU9" s="520"/>
      <c r="EV9" s="520"/>
      <c r="EW9" s="514"/>
      <c r="EX9" s="515"/>
      <c r="EY9" s="516"/>
    </row>
    <row r="10" spans="1:159" s="162" customFormat="1" ht="62.25" customHeight="1">
      <c r="A10" s="520"/>
      <c r="B10" s="520"/>
      <c r="C10" s="514"/>
      <c r="D10" s="515"/>
      <c r="E10" s="516"/>
      <c r="F10" s="514"/>
      <c r="G10" s="515"/>
      <c r="H10" s="516"/>
      <c r="I10" s="514"/>
      <c r="J10" s="515"/>
      <c r="K10" s="516"/>
      <c r="L10" s="514"/>
      <c r="M10" s="515"/>
      <c r="N10" s="516"/>
      <c r="O10" s="514"/>
      <c r="P10" s="515"/>
      <c r="Q10" s="516"/>
      <c r="R10" s="514"/>
      <c r="S10" s="515"/>
      <c r="T10" s="516"/>
      <c r="U10" s="514"/>
      <c r="V10" s="515"/>
      <c r="W10" s="516"/>
      <c r="X10" s="514"/>
      <c r="Y10" s="515"/>
      <c r="Z10" s="516"/>
      <c r="AA10" s="514"/>
      <c r="AB10" s="515"/>
      <c r="AC10" s="516"/>
      <c r="AD10" s="514"/>
      <c r="AE10" s="515"/>
      <c r="AF10" s="516"/>
      <c r="AG10" s="520"/>
      <c r="AH10" s="520"/>
      <c r="AI10" s="520"/>
      <c r="AJ10" s="514"/>
      <c r="AK10" s="515"/>
      <c r="AL10" s="516"/>
      <c r="AM10" s="514"/>
      <c r="AN10" s="515"/>
      <c r="AO10" s="516"/>
      <c r="AP10" s="514"/>
      <c r="AQ10" s="515"/>
      <c r="AR10" s="516"/>
      <c r="AS10" s="514"/>
      <c r="AT10" s="515"/>
      <c r="AU10" s="516"/>
      <c r="AV10" s="514"/>
      <c r="AW10" s="515"/>
      <c r="AX10" s="516"/>
      <c r="AY10" s="514"/>
      <c r="AZ10" s="515"/>
      <c r="BA10" s="516"/>
      <c r="BB10" s="514"/>
      <c r="BC10" s="515"/>
      <c r="BD10" s="516"/>
      <c r="BE10" s="514"/>
      <c r="BF10" s="515"/>
      <c r="BG10" s="516"/>
      <c r="BH10" s="514"/>
      <c r="BI10" s="515"/>
      <c r="BJ10" s="516"/>
      <c r="BK10" s="514"/>
      <c r="BL10" s="515"/>
      <c r="BM10" s="516"/>
      <c r="BN10" s="514"/>
      <c r="BO10" s="515"/>
      <c r="BP10" s="516"/>
      <c r="BQ10" s="514"/>
      <c r="BR10" s="515"/>
      <c r="BS10" s="516"/>
      <c r="BT10" s="514"/>
      <c r="BU10" s="515"/>
      <c r="BV10" s="516"/>
      <c r="BW10" s="514"/>
      <c r="BX10" s="515"/>
      <c r="BY10" s="515"/>
      <c r="BZ10" s="520"/>
      <c r="CA10" s="520"/>
      <c r="CB10" s="520"/>
      <c r="CC10" s="514"/>
      <c r="CD10" s="515"/>
      <c r="CE10" s="516"/>
      <c r="CF10" s="514"/>
      <c r="CG10" s="515"/>
      <c r="CH10" s="516"/>
      <c r="CI10" s="514"/>
      <c r="CJ10" s="515"/>
      <c r="CK10" s="516"/>
      <c r="CL10" s="514"/>
      <c r="CM10" s="515"/>
      <c r="CN10" s="516"/>
      <c r="CO10" s="514"/>
      <c r="CP10" s="515"/>
      <c r="CQ10" s="516"/>
      <c r="CR10" s="514"/>
      <c r="CS10" s="515"/>
      <c r="CT10" s="516"/>
      <c r="CU10" s="514"/>
      <c r="CV10" s="515"/>
      <c r="CW10" s="516"/>
      <c r="CX10" s="514"/>
      <c r="CY10" s="515"/>
      <c r="CZ10" s="516"/>
      <c r="DA10" s="514"/>
      <c r="DB10" s="515"/>
      <c r="DC10" s="516"/>
      <c r="DD10" s="520"/>
      <c r="DE10" s="520"/>
      <c r="DF10" s="520"/>
      <c r="DG10" s="514"/>
      <c r="DH10" s="515"/>
      <c r="DI10" s="516"/>
      <c r="DJ10" s="543"/>
      <c r="DK10" s="544"/>
      <c r="DL10" s="545"/>
      <c r="DM10" s="282"/>
      <c r="DN10" s="283"/>
      <c r="DO10" s="283"/>
      <c r="DP10" s="284"/>
      <c r="DQ10" s="284"/>
      <c r="DR10" s="284"/>
      <c r="DS10" s="283"/>
      <c r="DT10" s="283"/>
      <c r="DU10" s="283"/>
      <c r="DV10" s="283"/>
      <c r="DW10" s="283"/>
      <c r="DX10" s="285"/>
      <c r="DY10" s="543"/>
      <c r="DZ10" s="544"/>
      <c r="EA10" s="545"/>
      <c r="EB10" s="543"/>
      <c r="EC10" s="544"/>
      <c r="ED10" s="545"/>
      <c r="EE10" s="543"/>
      <c r="EF10" s="544"/>
      <c r="EG10" s="545"/>
      <c r="EH10" s="543"/>
      <c r="EI10" s="544"/>
      <c r="EJ10" s="545"/>
      <c r="EK10" s="514"/>
      <c r="EL10" s="515"/>
      <c r="EM10" s="516"/>
      <c r="EN10" s="514"/>
      <c r="EO10" s="515"/>
      <c r="EP10" s="516"/>
      <c r="EQ10" s="514"/>
      <c r="ER10" s="515"/>
      <c r="ES10" s="516"/>
      <c r="ET10" s="520"/>
      <c r="EU10" s="520"/>
      <c r="EV10" s="520"/>
      <c r="EW10" s="514"/>
      <c r="EX10" s="515"/>
      <c r="EY10" s="516"/>
    </row>
    <row r="11" spans="1:159" s="162" customFormat="1" ht="109.5" customHeight="1">
      <c r="A11" s="520"/>
      <c r="B11" s="520"/>
      <c r="C11" s="517"/>
      <c r="D11" s="518"/>
      <c r="E11" s="530"/>
      <c r="F11" s="517"/>
      <c r="G11" s="518"/>
      <c r="H11" s="519"/>
      <c r="I11" s="517"/>
      <c r="J11" s="518"/>
      <c r="K11" s="519"/>
      <c r="L11" s="517"/>
      <c r="M11" s="518"/>
      <c r="N11" s="519"/>
      <c r="O11" s="517"/>
      <c r="P11" s="518"/>
      <c r="Q11" s="519"/>
      <c r="R11" s="517"/>
      <c r="S11" s="518"/>
      <c r="T11" s="519"/>
      <c r="U11" s="517"/>
      <c r="V11" s="518"/>
      <c r="W11" s="519"/>
      <c r="X11" s="517"/>
      <c r="Y11" s="518"/>
      <c r="Z11" s="519"/>
      <c r="AA11" s="517"/>
      <c r="AB11" s="518"/>
      <c r="AC11" s="519"/>
      <c r="AD11" s="517"/>
      <c r="AE11" s="518"/>
      <c r="AF11" s="519"/>
      <c r="AG11" s="520"/>
      <c r="AH11" s="520"/>
      <c r="AI11" s="520"/>
      <c r="AJ11" s="517"/>
      <c r="AK11" s="518"/>
      <c r="AL11" s="519"/>
      <c r="AM11" s="517"/>
      <c r="AN11" s="518"/>
      <c r="AO11" s="519"/>
      <c r="AP11" s="517"/>
      <c r="AQ11" s="518"/>
      <c r="AR11" s="519"/>
      <c r="AS11" s="517"/>
      <c r="AT11" s="518"/>
      <c r="AU11" s="519"/>
      <c r="AV11" s="517"/>
      <c r="AW11" s="518"/>
      <c r="AX11" s="519"/>
      <c r="AY11" s="517"/>
      <c r="AZ11" s="518"/>
      <c r="BA11" s="519"/>
      <c r="BB11" s="517"/>
      <c r="BC11" s="518"/>
      <c r="BD11" s="519"/>
      <c r="BE11" s="517"/>
      <c r="BF11" s="518"/>
      <c r="BG11" s="519"/>
      <c r="BH11" s="517"/>
      <c r="BI11" s="518"/>
      <c r="BJ11" s="519"/>
      <c r="BK11" s="517"/>
      <c r="BL11" s="518"/>
      <c r="BM11" s="519"/>
      <c r="BN11" s="517"/>
      <c r="BO11" s="518"/>
      <c r="BP11" s="519"/>
      <c r="BQ11" s="517"/>
      <c r="BR11" s="518"/>
      <c r="BS11" s="519"/>
      <c r="BT11" s="517"/>
      <c r="BU11" s="518"/>
      <c r="BV11" s="519"/>
      <c r="BW11" s="517"/>
      <c r="BX11" s="518"/>
      <c r="BY11" s="518"/>
      <c r="BZ11" s="520"/>
      <c r="CA11" s="520"/>
      <c r="CB11" s="520"/>
      <c r="CC11" s="517"/>
      <c r="CD11" s="518"/>
      <c r="CE11" s="519"/>
      <c r="CF11" s="517"/>
      <c r="CG11" s="518"/>
      <c r="CH11" s="519"/>
      <c r="CI11" s="517"/>
      <c r="CJ11" s="518"/>
      <c r="CK11" s="519"/>
      <c r="CL11" s="517"/>
      <c r="CM11" s="518"/>
      <c r="CN11" s="519"/>
      <c r="CO11" s="517"/>
      <c r="CP11" s="518"/>
      <c r="CQ11" s="519"/>
      <c r="CR11" s="517"/>
      <c r="CS11" s="518"/>
      <c r="CT11" s="519"/>
      <c r="CU11" s="517"/>
      <c r="CV11" s="518"/>
      <c r="CW11" s="519"/>
      <c r="CX11" s="517"/>
      <c r="CY11" s="518"/>
      <c r="CZ11" s="519"/>
      <c r="DA11" s="517"/>
      <c r="DB11" s="518"/>
      <c r="DC11" s="519"/>
      <c r="DD11" s="520"/>
      <c r="DE11" s="520"/>
      <c r="DF11" s="520"/>
      <c r="DG11" s="517"/>
      <c r="DH11" s="518"/>
      <c r="DI11" s="519"/>
      <c r="DJ11" s="537"/>
      <c r="DK11" s="538"/>
      <c r="DL11" s="539"/>
      <c r="DM11" s="537" t="s">
        <v>169</v>
      </c>
      <c r="DN11" s="538"/>
      <c r="DO11" s="539"/>
      <c r="DP11" s="534" t="s">
        <v>170</v>
      </c>
      <c r="DQ11" s="535"/>
      <c r="DR11" s="536"/>
      <c r="DS11" s="537" t="s">
        <v>171</v>
      </c>
      <c r="DT11" s="538"/>
      <c r="DU11" s="539"/>
      <c r="DV11" s="537" t="s">
        <v>238</v>
      </c>
      <c r="DW11" s="538"/>
      <c r="DX11" s="539"/>
      <c r="DY11" s="537"/>
      <c r="DZ11" s="538"/>
      <c r="EA11" s="539"/>
      <c r="EB11" s="537"/>
      <c r="EC11" s="538"/>
      <c r="ED11" s="539"/>
      <c r="EE11" s="537"/>
      <c r="EF11" s="538"/>
      <c r="EG11" s="539"/>
      <c r="EH11" s="537"/>
      <c r="EI11" s="538"/>
      <c r="EJ11" s="539"/>
      <c r="EK11" s="517"/>
      <c r="EL11" s="518"/>
      <c r="EM11" s="519"/>
      <c r="EN11" s="517"/>
      <c r="EO11" s="518"/>
      <c r="EP11" s="519"/>
      <c r="EQ11" s="517"/>
      <c r="ER11" s="518"/>
      <c r="ES11" s="519"/>
      <c r="ET11" s="520"/>
      <c r="EU11" s="520"/>
      <c r="EV11" s="520"/>
      <c r="EW11" s="517"/>
      <c r="EX11" s="518"/>
      <c r="EY11" s="519"/>
      <c r="FA11" s="163"/>
      <c r="FB11" s="163"/>
      <c r="FC11" s="163"/>
    </row>
    <row r="12" spans="1:159" s="162" customFormat="1" ht="42.75" customHeight="1">
      <c r="A12" s="520"/>
      <c r="B12" s="520"/>
      <c r="C12" s="286" t="s">
        <v>172</v>
      </c>
      <c r="D12" s="287" t="s">
        <v>173</v>
      </c>
      <c r="E12" s="286" t="s">
        <v>404</v>
      </c>
      <c r="F12" s="286" t="s">
        <v>172</v>
      </c>
      <c r="G12" s="286" t="s">
        <v>173</v>
      </c>
      <c r="H12" s="286" t="s">
        <v>404</v>
      </c>
      <c r="I12" s="286" t="s">
        <v>172</v>
      </c>
      <c r="J12" s="286" t="s">
        <v>173</v>
      </c>
      <c r="K12" s="286" t="s">
        <v>404</v>
      </c>
      <c r="L12" s="286" t="s">
        <v>172</v>
      </c>
      <c r="M12" s="286" t="s">
        <v>173</v>
      </c>
      <c r="N12" s="286" t="s">
        <v>404</v>
      </c>
      <c r="O12" s="286" t="s">
        <v>172</v>
      </c>
      <c r="P12" s="286" t="s">
        <v>173</v>
      </c>
      <c r="Q12" s="286" t="s">
        <v>404</v>
      </c>
      <c r="R12" s="286" t="s">
        <v>172</v>
      </c>
      <c r="S12" s="286" t="s">
        <v>173</v>
      </c>
      <c r="T12" s="286" t="s">
        <v>404</v>
      </c>
      <c r="U12" s="286" t="s">
        <v>172</v>
      </c>
      <c r="V12" s="286" t="s">
        <v>173</v>
      </c>
      <c r="W12" s="286" t="s">
        <v>404</v>
      </c>
      <c r="X12" s="286" t="s">
        <v>172</v>
      </c>
      <c r="Y12" s="286" t="s">
        <v>173</v>
      </c>
      <c r="Z12" s="286" t="s">
        <v>404</v>
      </c>
      <c r="AA12" s="286" t="s">
        <v>172</v>
      </c>
      <c r="AB12" s="286" t="s">
        <v>173</v>
      </c>
      <c r="AC12" s="286" t="s">
        <v>404</v>
      </c>
      <c r="AD12" s="286" t="s">
        <v>172</v>
      </c>
      <c r="AE12" s="286" t="s">
        <v>173</v>
      </c>
      <c r="AF12" s="286" t="s">
        <v>404</v>
      </c>
      <c r="AG12" s="286" t="s">
        <v>172</v>
      </c>
      <c r="AH12" s="286" t="s">
        <v>173</v>
      </c>
      <c r="AI12" s="286" t="s">
        <v>404</v>
      </c>
      <c r="AJ12" s="286" t="s">
        <v>172</v>
      </c>
      <c r="AK12" s="286" t="s">
        <v>173</v>
      </c>
      <c r="AL12" s="286" t="s">
        <v>404</v>
      </c>
      <c r="AM12" s="286" t="s">
        <v>172</v>
      </c>
      <c r="AN12" s="286" t="s">
        <v>173</v>
      </c>
      <c r="AO12" s="286" t="s">
        <v>404</v>
      </c>
      <c r="AP12" s="286" t="s">
        <v>172</v>
      </c>
      <c r="AQ12" s="286" t="s">
        <v>173</v>
      </c>
      <c r="AR12" s="286" t="s">
        <v>404</v>
      </c>
      <c r="AS12" s="286" t="s">
        <v>172</v>
      </c>
      <c r="AT12" s="286" t="s">
        <v>173</v>
      </c>
      <c r="AU12" s="286" t="s">
        <v>404</v>
      </c>
      <c r="AV12" s="286" t="s">
        <v>172</v>
      </c>
      <c r="AW12" s="286" t="s">
        <v>173</v>
      </c>
      <c r="AX12" s="286" t="s">
        <v>174</v>
      </c>
      <c r="AY12" s="286" t="s">
        <v>172</v>
      </c>
      <c r="AZ12" s="286" t="s">
        <v>173</v>
      </c>
      <c r="BA12" s="286" t="s">
        <v>404</v>
      </c>
      <c r="BB12" s="286"/>
      <c r="BC12" s="286"/>
      <c r="BD12" s="286"/>
      <c r="BE12" s="286" t="s">
        <v>175</v>
      </c>
      <c r="BF12" s="286" t="s">
        <v>173</v>
      </c>
      <c r="BG12" s="286" t="s">
        <v>404</v>
      </c>
      <c r="BH12" s="286" t="s">
        <v>172</v>
      </c>
      <c r="BI12" s="286" t="s">
        <v>173</v>
      </c>
      <c r="BJ12" s="286" t="s">
        <v>174</v>
      </c>
      <c r="BK12" s="286" t="s">
        <v>172</v>
      </c>
      <c r="BL12" s="286" t="s">
        <v>173</v>
      </c>
      <c r="BM12" s="286" t="s">
        <v>174</v>
      </c>
      <c r="BN12" s="286" t="s">
        <v>175</v>
      </c>
      <c r="BO12" s="286" t="s">
        <v>173</v>
      </c>
      <c r="BP12" s="286" t="s">
        <v>404</v>
      </c>
      <c r="BQ12" s="286" t="s">
        <v>175</v>
      </c>
      <c r="BR12" s="286" t="s">
        <v>173</v>
      </c>
      <c r="BS12" s="286" t="s">
        <v>404</v>
      </c>
      <c r="BT12" s="286" t="s">
        <v>175</v>
      </c>
      <c r="BU12" s="286" t="s">
        <v>173</v>
      </c>
      <c r="BV12" s="286" t="s">
        <v>174</v>
      </c>
      <c r="BW12" s="286" t="s">
        <v>175</v>
      </c>
      <c r="BX12" s="286" t="s">
        <v>173</v>
      </c>
      <c r="BY12" s="286" t="s">
        <v>174</v>
      </c>
      <c r="BZ12" s="286" t="s">
        <v>172</v>
      </c>
      <c r="CA12" s="286" t="s">
        <v>173</v>
      </c>
      <c r="CB12" s="286" t="s">
        <v>404</v>
      </c>
      <c r="CC12" s="286" t="s">
        <v>172</v>
      </c>
      <c r="CD12" s="286" t="s">
        <v>173</v>
      </c>
      <c r="CE12" s="286" t="s">
        <v>404</v>
      </c>
      <c r="CF12" s="286" t="s">
        <v>172</v>
      </c>
      <c r="CG12" s="286" t="s">
        <v>173</v>
      </c>
      <c r="CH12" s="286" t="s">
        <v>404</v>
      </c>
      <c r="CI12" s="286" t="s">
        <v>172</v>
      </c>
      <c r="CJ12" s="286" t="s">
        <v>173</v>
      </c>
      <c r="CK12" s="286" t="s">
        <v>404</v>
      </c>
      <c r="CL12" s="286" t="s">
        <v>172</v>
      </c>
      <c r="CM12" s="286" t="s">
        <v>173</v>
      </c>
      <c r="CN12" s="286" t="s">
        <v>404</v>
      </c>
      <c r="CO12" s="286" t="s">
        <v>172</v>
      </c>
      <c r="CP12" s="286" t="s">
        <v>173</v>
      </c>
      <c r="CQ12" s="286" t="s">
        <v>404</v>
      </c>
      <c r="CR12" s="286" t="s">
        <v>172</v>
      </c>
      <c r="CS12" s="286" t="s">
        <v>173</v>
      </c>
      <c r="CT12" s="286" t="s">
        <v>404</v>
      </c>
      <c r="CU12" s="286" t="s">
        <v>172</v>
      </c>
      <c r="CV12" s="286" t="s">
        <v>173</v>
      </c>
      <c r="CW12" s="286" t="s">
        <v>404</v>
      </c>
      <c r="CX12" s="286" t="s">
        <v>172</v>
      </c>
      <c r="CY12" s="286" t="s">
        <v>173</v>
      </c>
      <c r="CZ12" s="286" t="s">
        <v>174</v>
      </c>
      <c r="DA12" s="286" t="s">
        <v>172</v>
      </c>
      <c r="DB12" s="286" t="s">
        <v>173</v>
      </c>
      <c r="DC12" s="286" t="s">
        <v>174</v>
      </c>
      <c r="DD12" s="286" t="s">
        <v>172</v>
      </c>
      <c r="DE12" s="286" t="s">
        <v>173</v>
      </c>
      <c r="DF12" s="286" t="s">
        <v>174</v>
      </c>
      <c r="DG12" s="286" t="s">
        <v>172</v>
      </c>
      <c r="DH12" s="286" t="s">
        <v>173</v>
      </c>
      <c r="DI12" s="286" t="s">
        <v>404</v>
      </c>
      <c r="DJ12" s="286" t="s">
        <v>172</v>
      </c>
      <c r="DK12" s="286" t="s">
        <v>173</v>
      </c>
      <c r="DL12" s="286" t="s">
        <v>404</v>
      </c>
      <c r="DM12" s="286" t="s">
        <v>172</v>
      </c>
      <c r="DN12" s="286" t="s">
        <v>173</v>
      </c>
      <c r="DO12" s="286" t="s">
        <v>404</v>
      </c>
      <c r="DP12" s="286" t="s">
        <v>172</v>
      </c>
      <c r="DQ12" s="286" t="s">
        <v>173</v>
      </c>
      <c r="DR12" s="286" t="s">
        <v>404</v>
      </c>
      <c r="DS12" s="286" t="s">
        <v>172</v>
      </c>
      <c r="DT12" s="286" t="s">
        <v>173</v>
      </c>
      <c r="DU12" s="286" t="s">
        <v>404</v>
      </c>
      <c r="DV12" s="286" t="s">
        <v>172</v>
      </c>
      <c r="DW12" s="286" t="s">
        <v>173</v>
      </c>
      <c r="DX12" s="286" t="s">
        <v>404</v>
      </c>
      <c r="DY12" s="286" t="s">
        <v>172</v>
      </c>
      <c r="DZ12" s="286" t="s">
        <v>173</v>
      </c>
      <c r="EA12" s="286" t="s">
        <v>404</v>
      </c>
      <c r="EB12" s="286" t="s">
        <v>172</v>
      </c>
      <c r="EC12" s="286" t="s">
        <v>173</v>
      </c>
      <c r="ED12" s="286" t="s">
        <v>404</v>
      </c>
      <c r="EE12" s="286" t="s">
        <v>172</v>
      </c>
      <c r="EF12" s="286" t="s">
        <v>173</v>
      </c>
      <c r="EG12" s="286" t="s">
        <v>404</v>
      </c>
      <c r="EH12" s="286" t="s">
        <v>172</v>
      </c>
      <c r="EI12" s="286" t="s">
        <v>173</v>
      </c>
      <c r="EJ12" s="286" t="s">
        <v>404</v>
      </c>
      <c r="EK12" s="286" t="s">
        <v>172</v>
      </c>
      <c r="EL12" s="286" t="s">
        <v>173</v>
      </c>
      <c r="EM12" s="286" t="s">
        <v>404</v>
      </c>
      <c r="EN12" s="286" t="s">
        <v>172</v>
      </c>
      <c r="EO12" s="286" t="s">
        <v>173</v>
      </c>
      <c r="EP12" s="286" t="s">
        <v>404</v>
      </c>
      <c r="EQ12" s="286" t="s">
        <v>172</v>
      </c>
      <c r="ER12" s="286" t="s">
        <v>173</v>
      </c>
      <c r="ES12" s="286" t="s">
        <v>404</v>
      </c>
      <c r="ET12" s="286" t="s">
        <v>172</v>
      </c>
      <c r="EU12" s="286" t="s">
        <v>173</v>
      </c>
      <c r="EV12" s="286" t="s">
        <v>404</v>
      </c>
      <c r="EW12" s="286" t="s">
        <v>172</v>
      </c>
      <c r="EX12" s="286" t="s">
        <v>173</v>
      </c>
      <c r="EY12" s="286" t="s">
        <v>404</v>
      </c>
      <c r="FA12" s="163"/>
      <c r="FB12" s="163"/>
      <c r="FC12" s="163"/>
    </row>
    <row r="13" spans="1:159" s="162" customFormat="1" ht="24" customHeight="1">
      <c r="A13" s="288">
        <v>1</v>
      </c>
      <c r="B13" s="286">
        <v>2</v>
      </c>
      <c r="C13" s="288">
        <v>3</v>
      </c>
      <c r="D13" s="287">
        <v>4</v>
      </c>
      <c r="E13" s="288">
        <v>5</v>
      </c>
      <c r="F13" s="286">
        <v>6</v>
      </c>
      <c r="G13" s="288">
        <v>7</v>
      </c>
      <c r="H13" s="286">
        <v>8</v>
      </c>
      <c r="I13" s="288">
        <v>9</v>
      </c>
      <c r="J13" s="286">
        <v>10</v>
      </c>
      <c r="K13" s="288">
        <v>11</v>
      </c>
      <c r="L13" s="288">
        <v>12</v>
      </c>
      <c r="M13" s="288">
        <v>13</v>
      </c>
      <c r="N13" s="288">
        <v>14</v>
      </c>
      <c r="O13" s="288">
        <v>15</v>
      </c>
      <c r="P13" s="288">
        <v>16</v>
      </c>
      <c r="Q13" s="288">
        <v>17</v>
      </c>
      <c r="R13" s="288">
        <v>18</v>
      </c>
      <c r="S13" s="288">
        <v>19</v>
      </c>
      <c r="T13" s="288">
        <v>20</v>
      </c>
      <c r="U13" s="288">
        <v>21</v>
      </c>
      <c r="V13" s="288">
        <v>22</v>
      </c>
      <c r="W13" s="288">
        <v>23</v>
      </c>
      <c r="X13" s="286">
        <v>24</v>
      </c>
      <c r="Y13" s="288">
        <v>25</v>
      </c>
      <c r="Z13" s="286">
        <v>26</v>
      </c>
      <c r="AA13" s="288">
        <v>27</v>
      </c>
      <c r="AB13" s="286">
        <v>28</v>
      </c>
      <c r="AC13" s="288">
        <v>29</v>
      </c>
      <c r="AD13" s="286">
        <v>30</v>
      </c>
      <c r="AE13" s="288">
        <v>31</v>
      </c>
      <c r="AF13" s="286">
        <v>32</v>
      </c>
      <c r="AG13" s="288">
        <v>33</v>
      </c>
      <c r="AH13" s="286">
        <v>34</v>
      </c>
      <c r="AI13" s="288">
        <v>35</v>
      </c>
      <c r="AJ13" s="288">
        <v>36</v>
      </c>
      <c r="AK13" s="288">
        <v>37</v>
      </c>
      <c r="AL13" s="288">
        <v>38</v>
      </c>
      <c r="AM13" s="286">
        <v>39</v>
      </c>
      <c r="AN13" s="288">
        <v>40</v>
      </c>
      <c r="AO13" s="286">
        <v>41</v>
      </c>
      <c r="AP13" s="288">
        <v>42</v>
      </c>
      <c r="AQ13" s="286">
        <v>43</v>
      </c>
      <c r="AR13" s="288">
        <v>44</v>
      </c>
      <c r="AS13" s="288">
        <v>45</v>
      </c>
      <c r="AT13" s="286">
        <v>46</v>
      </c>
      <c r="AU13" s="288">
        <v>47</v>
      </c>
      <c r="AV13" s="288">
        <v>48</v>
      </c>
      <c r="AW13" s="286">
        <v>49</v>
      </c>
      <c r="AX13" s="288">
        <v>50</v>
      </c>
      <c r="AY13" s="288">
        <v>48</v>
      </c>
      <c r="AZ13" s="286">
        <v>49</v>
      </c>
      <c r="BA13" s="288">
        <v>50</v>
      </c>
      <c r="BB13" s="288">
        <v>51</v>
      </c>
      <c r="BC13" s="288">
        <v>52</v>
      </c>
      <c r="BD13" s="288">
        <v>56</v>
      </c>
      <c r="BE13" s="286">
        <v>51</v>
      </c>
      <c r="BF13" s="288">
        <v>52</v>
      </c>
      <c r="BG13" s="286">
        <v>53</v>
      </c>
      <c r="BH13" s="288">
        <v>60</v>
      </c>
      <c r="BI13" s="289">
        <v>61</v>
      </c>
      <c r="BJ13" s="290">
        <v>62</v>
      </c>
      <c r="BK13" s="288">
        <v>63</v>
      </c>
      <c r="BL13" s="288">
        <v>64</v>
      </c>
      <c r="BM13" s="288">
        <v>65</v>
      </c>
      <c r="BN13" s="288">
        <v>66</v>
      </c>
      <c r="BO13" s="288">
        <v>67</v>
      </c>
      <c r="BP13" s="288">
        <v>68</v>
      </c>
      <c r="BQ13" s="286">
        <v>54</v>
      </c>
      <c r="BR13" s="288">
        <v>55</v>
      </c>
      <c r="BS13" s="286">
        <v>56</v>
      </c>
      <c r="BT13" s="288">
        <v>72</v>
      </c>
      <c r="BU13" s="286">
        <v>73</v>
      </c>
      <c r="BV13" s="288">
        <v>74</v>
      </c>
      <c r="BW13" s="286">
        <v>75</v>
      </c>
      <c r="BX13" s="288">
        <v>76</v>
      </c>
      <c r="BY13" s="286">
        <v>77</v>
      </c>
      <c r="BZ13" s="288">
        <v>57</v>
      </c>
      <c r="CA13" s="286">
        <v>58</v>
      </c>
      <c r="CB13" s="288">
        <v>59</v>
      </c>
      <c r="CC13" s="286">
        <v>60</v>
      </c>
      <c r="CD13" s="288">
        <v>61</v>
      </c>
      <c r="CE13" s="286">
        <v>62</v>
      </c>
      <c r="CF13" s="288">
        <v>63</v>
      </c>
      <c r="CG13" s="286">
        <v>64</v>
      </c>
      <c r="CH13" s="288">
        <v>65</v>
      </c>
      <c r="CI13" s="286">
        <v>66</v>
      </c>
      <c r="CJ13" s="288">
        <v>67</v>
      </c>
      <c r="CK13" s="286">
        <v>68</v>
      </c>
      <c r="CL13" s="288">
        <v>69</v>
      </c>
      <c r="CM13" s="286">
        <v>70</v>
      </c>
      <c r="CN13" s="288">
        <v>71</v>
      </c>
      <c r="CO13" s="288">
        <v>72</v>
      </c>
      <c r="CP13" s="288">
        <v>73</v>
      </c>
      <c r="CQ13" s="288">
        <v>74</v>
      </c>
      <c r="CR13" s="288">
        <v>75</v>
      </c>
      <c r="CS13" s="288">
        <v>76</v>
      </c>
      <c r="CT13" s="288">
        <v>77</v>
      </c>
      <c r="CU13" s="288">
        <v>78</v>
      </c>
      <c r="CV13" s="288">
        <v>79</v>
      </c>
      <c r="CW13" s="288">
        <v>80</v>
      </c>
      <c r="CX13" s="286">
        <v>96</v>
      </c>
      <c r="CY13" s="288">
        <v>97</v>
      </c>
      <c r="CZ13" s="286">
        <v>98</v>
      </c>
      <c r="DA13" s="286">
        <v>99</v>
      </c>
      <c r="DB13" s="286">
        <v>100</v>
      </c>
      <c r="DC13" s="286">
        <v>101</v>
      </c>
      <c r="DD13" s="286">
        <v>102</v>
      </c>
      <c r="DE13" s="286">
        <v>103</v>
      </c>
      <c r="DF13" s="286">
        <v>104</v>
      </c>
      <c r="DG13" s="288">
        <v>81</v>
      </c>
      <c r="DH13" s="286">
        <v>82</v>
      </c>
      <c r="DI13" s="288">
        <v>83</v>
      </c>
      <c r="DJ13" s="286">
        <v>84</v>
      </c>
      <c r="DK13" s="288">
        <v>85</v>
      </c>
      <c r="DL13" s="286">
        <v>86</v>
      </c>
      <c r="DM13" s="288">
        <v>87</v>
      </c>
      <c r="DN13" s="286">
        <v>88</v>
      </c>
      <c r="DO13" s="288">
        <v>89</v>
      </c>
      <c r="DP13" s="286">
        <v>90</v>
      </c>
      <c r="DQ13" s="288">
        <v>91</v>
      </c>
      <c r="DR13" s="286">
        <v>92</v>
      </c>
      <c r="DS13" s="288">
        <v>93</v>
      </c>
      <c r="DT13" s="286">
        <v>94</v>
      </c>
      <c r="DU13" s="288">
        <v>95</v>
      </c>
      <c r="DV13" s="286">
        <v>96</v>
      </c>
      <c r="DW13" s="286">
        <v>97</v>
      </c>
      <c r="DX13" s="286">
        <v>98</v>
      </c>
      <c r="DY13" s="288">
        <v>99</v>
      </c>
      <c r="DZ13" s="286">
        <v>100</v>
      </c>
      <c r="EA13" s="288">
        <v>101</v>
      </c>
      <c r="EB13" s="286">
        <v>102</v>
      </c>
      <c r="EC13" s="288">
        <v>103</v>
      </c>
      <c r="ED13" s="286">
        <v>104</v>
      </c>
      <c r="EE13" s="288">
        <v>105</v>
      </c>
      <c r="EF13" s="286">
        <v>106</v>
      </c>
      <c r="EG13" s="288">
        <v>107</v>
      </c>
      <c r="EH13" s="286">
        <v>108</v>
      </c>
      <c r="EI13" s="288">
        <v>109</v>
      </c>
      <c r="EJ13" s="286">
        <v>110</v>
      </c>
      <c r="EK13" s="288">
        <v>111</v>
      </c>
      <c r="EL13" s="286">
        <v>112</v>
      </c>
      <c r="EM13" s="288">
        <v>113</v>
      </c>
      <c r="EN13" s="286">
        <v>114</v>
      </c>
      <c r="EO13" s="288">
        <v>115</v>
      </c>
      <c r="EP13" s="286">
        <v>116</v>
      </c>
      <c r="EQ13" s="288">
        <v>117</v>
      </c>
      <c r="ER13" s="286">
        <v>118</v>
      </c>
      <c r="ES13" s="288">
        <v>119</v>
      </c>
      <c r="ET13" s="286">
        <v>120</v>
      </c>
      <c r="EU13" s="288">
        <v>121</v>
      </c>
      <c r="EV13" s="286">
        <v>122</v>
      </c>
      <c r="EW13" s="288">
        <v>123</v>
      </c>
      <c r="EX13" s="286">
        <v>124</v>
      </c>
      <c r="EY13" s="288">
        <v>125</v>
      </c>
    </row>
    <row r="14" spans="1:159" s="162" customFormat="1" ht="25.5" customHeight="1">
      <c r="A14" s="335">
        <v>1</v>
      </c>
      <c r="B14" s="336" t="s">
        <v>289</v>
      </c>
      <c r="C14" s="291">
        <f t="shared" ref="C14:C29" si="0">F14+BZ14</f>
        <v>4015.2939999999999</v>
      </c>
      <c r="D14" s="292">
        <f t="shared" ref="D14:D29" si="1">G14+CA14+CY14</f>
        <v>3159.6388500000003</v>
      </c>
      <c r="E14" s="293">
        <f t="shared" ref="E14:E29" si="2">D14/C14*100</f>
        <v>78.69009965397305</v>
      </c>
      <c r="F14" s="294">
        <f t="shared" ref="F14:F29" si="3">I14+X14+AA14+AD14+AG14+AM14+AS14+BE14+BQ14+BN14+AJ14+AY14+L14+R14+O14+U14+AP14</f>
        <v>669.78</v>
      </c>
      <c r="G14" s="294">
        <f t="shared" ref="G14:G29" si="4">J14+Y14+AB14+AE14+AH14+AN14+AT14+BF14+AK14+BR14+BO14+AZ14+M14+S14+P14+V14+AQ14</f>
        <v>583.30385000000001</v>
      </c>
      <c r="H14" s="293">
        <f>G14/F14*100</f>
        <v>87.088872465585723</v>
      </c>
      <c r="I14" s="295">
        <f>Але!C6</f>
        <v>89.8</v>
      </c>
      <c r="J14" s="442">
        <f>Але!D6</f>
        <v>53.323749999999997</v>
      </c>
      <c r="K14" s="293">
        <f>J14/I14*100</f>
        <v>59.380567928730507</v>
      </c>
      <c r="L14" s="293">
        <f>Але!C8</f>
        <v>95.74</v>
      </c>
      <c r="M14" s="293">
        <f>Але!D8</f>
        <v>103.1341</v>
      </c>
      <c r="N14" s="293">
        <f>M14/L14*100</f>
        <v>107.72310424065176</v>
      </c>
      <c r="O14" s="293">
        <f>Але!C9</f>
        <v>1.03</v>
      </c>
      <c r="P14" s="327">
        <f>Але!D9</f>
        <v>0.73990999999999996</v>
      </c>
      <c r="Q14" s="293">
        <f>P14/O14*100</f>
        <v>71.835922330097077</v>
      </c>
      <c r="R14" s="293">
        <f>Але!C10</f>
        <v>159.91</v>
      </c>
      <c r="S14" s="293">
        <f>Але!D10</f>
        <v>138.57374999999999</v>
      </c>
      <c r="T14" s="293">
        <f>S14/R14*100</f>
        <v>86.657338502907876</v>
      </c>
      <c r="U14" s="293">
        <f>Але!C11</f>
        <v>0</v>
      </c>
      <c r="V14" s="488">
        <f>Але!D11</f>
        <v>-18.57647</v>
      </c>
      <c r="W14" s="293" t="e">
        <f>V14/U14*100</f>
        <v>#DIV/0!</v>
      </c>
      <c r="X14" s="298">
        <f>Але!C13</f>
        <v>35</v>
      </c>
      <c r="Y14" s="441">
        <f>Але!D13</f>
        <v>24.1173</v>
      </c>
      <c r="Z14" s="293">
        <f>Y14/X14*100</f>
        <v>68.906571428571425</v>
      </c>
      <c r="AA14" s="298">
        <f>Але!C15</f>
        <v>38</v>
      </c>
      <c r="AB14" s="299">
        <f>Але!D15</f>
        <v>24.048400000000001</v>
      </c>
      <c r="AC14" s="293">
        <f>AB14/AA14*100</f>
        <v>63.285263157894747</v>
      </c>
      <c r="AD14" s="298">
        <f>Але!C16</f>
        <v>193</v>
      </c>
      <c r="AE14" s="298">
        <f>Але!D16</f>
        <v>220.98799</v>
      </c>
      <c r="AF14" s="293">
        <f t="shared" ref="AF14:AF29" si="5">AE14/AD14*100</f>
        <v>114.50154922279792</v>
      </c>
      <c r="AG14" s="293">
        <f>Але!C18</f>
        <v>3</v>
      </c>
      <c r="AH14" s="293">
        <f>Але!D18</f>
        <v>1.9</v>
      </c>
      <c r="AI14" s="293">
        <f>AH14/AG14*100</f>
        <v>63.333333333333329</v>
      </c>
      <c r="AJ14" s="293"/>
      <c r="AK14" s="293"/>
      <c r="AL14" s="300" t="e">
        <f t="shared" ref="AL14:AL23" si="6">AK14/AJ14*100</f>
        <v>#DIV/0!</v>
      </c>
      <c r="AM14" s="298">
        <v>0</v>
      </c>
      <c r="AN14" s="298">
        <v>0</v>
      </c>
      <c r="AO14" s="300" t="e">
        <f t="shared" ref="AO14:AO29" si="7">AN14/AM14*100</f>
        <v>#DIV/0!</v>
      </c>
      <c r="AP14" s="298">
        <f>Але!C27</f>
        <v>54.3</v>
      </c>
      <c r="AQ14" s="301">
        <f>Але!D27</f>
        <v>8.0466800000000003</v>
      </c>
      <c r="AR14" s="293">
        <f>AQ14/AP14*100</f>
        <v>14.818931860036832</v>
      </c>
      <c r="AS14" s="302">
        <f>Але!C28</f>
        <v>0</v>
      </c>
      <c r="AT14" s="301">
        <f>Але!D28</f>
        <v>0</v>
      </c>
      <c r="AU14" s="293" t="e">
        <f>AT14/AS14*100</f>
        <v>#DIV/0!</v>
      </c>
      <c r="AV14" s="298"/>
      <c r="AW14" s="298"/>
      <c r="AX14" s="293" t="e">
        <f>AW14/AV14*100</f>
        <v>#DIV/0!</v>
      </c>
      <c r="AY14" s="293">
        <f>Але!C29</f>
        <v>0</v>
      </c>
      <c r="AZ14" s="303">
        <f>Але!D29</f>
        <v>27.00844</v>
      </c>
      <c r="BA14" s="293" t="e">
        <f>AZ14/AY14*100</f>
        <v>#DIV/0!</v>
      </c>
      <c r="BB14" s="293">
        <f>Але!C30</f>
        <v>0</v>
      </c>
      <c r="BC14" s="293">
        <f>Але!D30</f>
        <v>27.00844</v>
      </c>
      <c r="BD14" s="293" t="e">
        <f>BC14/BB14*100</f>
        <v>#DIV/0!</v>
      </c>
      <c r="BE14" s="293">
        <f>Але!C32</f>
        <v>0</v>
      </c>
      <c r="BF14" s="448">
        <f>Але!D31</f>
        <v>0</v>
      </c>
      <c r="BG14" s="293" t="e">
        <f>BF14/BE14*100</f>
        <v>#DIV/0!</v>
      </c>
      <c r="BH14" s="293"/>
      <c r="BI14" s="293"/>
      <c r="BJ14" s="293" t="e">
        <f>BI14/BH14*100</f>
        <v>#DIV/0!</v>
      </c>
      <c r="BK14" s="293"/>
      <c r="BL14" s="293"/>
      <c r="BM14" s="293"/>
      <c r="BN14" s="293"/>
      <c r="BO14" s="304"/>
      <c r="BP14" s="293" t="e">
        <f>BO14/BN14*100</f>
        <v>#DIV/0!</v>
      </c>
      <c r="BQ14" s="293">
        <f>Але!C34</f>
        <v>0</v>
      </c>
      <c r="BR14" s="458">
        <f>Але!D35</f>
        <v>0</v>
      </c>
      <c r="BS14" s="293" t="e">
        <f>BR14/BQ14*100</f>
        <v>#DIV/0!</v>
      </c>
      <c r="BT14" s="293"/>
      <c r="BU14" s="293"/>
      <c r="BV14" s="305" t="e">
        <f>BT14/BU14*100</f>
        <v>#DIV/0!</v>
      </c>
      <c r="BW14" s="305"/>
      <c r="BX14" s="305"/>
      <c r="BY14" s="305" t="e">
        <f>BW14/BX14*100</f>
        <v>#DIV/0!</v>
      </c>
      <c r="BZ14" s="298">
        <f>CC14+CF14+CI14+CL14+CR14+CO14</f>
        <v>3345.5140000000001</v>
      </c>
      <c r="CA14" s="298">
        <f>CD14+CG14+CJ14+CM14+CS14+CP14+CV14</f>
        <v>2576.335</v>
      </c>
      <c r="CB14" s="293">
        <f>CA14/BZ14*100</f>
        <v>77.008645009406635</v>
      </c>
      <c r="CC14" s="300">
        <f>Але!C39</f>
        <v>1194.4000000000001</v>
      </c>
      <c r="CD14" s="300">
        <f>Але!D39</f>
        <v>1094.8520000000001</v>
      </c>
      <c r="CE14" s="293">
        <f>CD14/CC14*100</f>
        <v>91.665438713998654</v>
      </c>
      <c r="CF14" s="293">
        <f>Але!C40</f>
        <v>600</v>
      </c>
      <c r="CG14" s="293">
        <f>Але!D40</f>
        <v>600</v>
      </c>
      <c r="CH14" s="293">
        <f>CG14/CF14*100</f>
        <v>100</v>
      </c>
      <c r="CI14" s="293">
        <f>Але!C41</f>
        <v>751.93</v>
      </c>
      <c r="CJ14" s="293">
        <f>Але!D41</f>
        <v>91.141000000000005</v>
      </c>
      <c r="CK14" s="293">
        <f t="shared" ref="CK14:CK29" si="8">CJ14/CI14*100</f>
        <v>12.120942108972912</v>
      </c>
      <c r="CL14" s="293">
        <f>Але!C42</f>
        <v>99.183999999999997</v>
      </c>
      <c r="CM14" s="293">
        <f>Але!D42</f>
        <v>90.341999999999999</v>
      </c>
      <c r="CN14" s="293">
        <f t="shared" ref="CN14:CN31" si="9">CM14/CL14*100</f>
        <v>91.085255686401041</v>
      </c>
      <c r="CO14" s="448">
        <f>Але!C44</f>
        <v>700</v>
      </c>
      <c r="CP14" s="293">
        <f>Але!D44</f>
        <v>700</v>
      </c>
      <c r="CQ14" s="293">
        <f>CP14/CO14*100</f>
        <v>100</v>
      </c>
      <c r="CR14" s="297">
        <f>Але!C43</f>
        <v>0</v>
      </c>
      <c r="CS14" s="293">
        <f>Але!D43</f>
        <v>0</v>
      </c>
      <c r="CT14" s="293" t="e">
        <f t="shared" ref="CT14:CT31" si="10">CS14/CR14*100</f>
        <v>#DIV/0!</v>
      </c>
      <c r="CU14" s="293"/>
      <c r="CV14" s="293">
        <f>Але!D45</f>
        <v>0</v>
      </c>
      <c r="CW14" s="293" t="e">
        <f>CV13:CV14/CU14*100</f>
        <v>#DIV/0!</v>
      </c>
      <c r="CX14" s="298"/>
      <c r="CY14" s="298"/>
      <c r="CZ14" s="293" t="e">
        <f>CY14/CX14*100</f>
        <v>#DIV/0!</v>
      </c>
      <c r="DA14" s="293"/>
      <c r="DB14" s="293"/>
      <c r="DC14" s="293"/>
      <c r="DD14" s="293"/>
      <c r="DE14" s="293"/>
      <c r="DF14" s="293"/>
      <c r="DG14" s="302">
        <f>DJ14+DY14+EB14+EE14+EH14+EK14+EN14+EQ14+ET14</f>
        <v>4170.0520400000005</v>
      </c>
      <c r="DH14" s="302">
        <f>DK14+DZ14+EC14+EF14+EI14+EL14+EO14+ER14+EU14</f>
        <v>2261.2134500000002</v>
      </c>
      <c r="DI14" s="293">
        <f>DH14/DG14*100</f>
        <v>54.225065498223366</v>
      </c>
      <c r="DJ14" s="298">
        <f>DM14+DP14+DS14+DV14</f>
        <v>1157.7750000000001</v>
      </c>
      <c r="DK14" s="298">
        <f>DN14+DQ14+DT14+DW14</f>
        <v>843.14583000000005</v>
      </c>
      <c r="DL14" s="293">
        <f>DK14/DJ14*100</f>
        <v>72.824670596618517</v>
      </c>
      <c r="DM14" s="293">
        <f>Але!C54</f>
        <v>1114</v>
      </c>
      <c r="DN14" s="293">
        <f>Але!D54</f>
        <v>825.64583000000005</v>
      </c>
      <c r="DO14" s="293">
        <f>DN14/DM14*100</f>
        <v>74.115424596050275</v>
      </c>
      <c r="DP14" s="293">
        <f>Але!C57</f>
        <v>12</v>
      </c>
      <c r="DQ14" s="293">
        <f>Але!D57</f>
        <v>12</v>
      </c>
      <c r="DR14" s="293">
        <f>DQ14/DP14*100</f>
        <v>100</v>
      </c>
      <c r="DS14" s="293">
        <f>Але!C58</f>
        <v>5</v>
      </c>
      <c r="DT14" s="293">
        <f>Але!D58</f>
        <v>0</v>
      </c>
      <c r="DU14" s="293">
        <f>DT14/DS14*100</f>
        <v>0</v>
      </c>
      <c r="DV14" s="293">
        <f>Але!C59</f>
        <v>26.774999999999999</v>
      </c>
      <c r="DW14" s="293">
        <f>Але!D59</f>
        <v>5.5</v>
      </c>
      <c r="DX14" s="293">
        <f>DW14/DV14*100</f>
        <v>20.541549953314661</v>
      </c>
      <c r="DY14" s="293">
        <f>Але!C61</f>
        <v>99.183999999999997</v>
      </c>
      <c r="DZ14" s="293">
        <f>Але!D61</f>
        <v>84.115279999999998</v>
      </c>
      <c r="EA14" s="293">
        <f>DZ14/DY14*100</f>
        <v>84.807307630262954</v>
      </c>
      <c r="EB14" s="293">
        <f>Але!C62</f>
        <v>12.821999999999999</v>
      </c>
      <c r="EC14" s="293">
        <f>Але!D62</f>
        <v>6.89025</v>
      </c>
      <c r="ED14" s="293">
        <f>EC14/EB14*100</f>
        <v>53.737716424894714</v>
      </c>
      <c r="EE14" s="482">
        <f>Але!C68</f>
        <v>1183.0460400000002</v>
      </c>
      <c r="EF14" s="298">
        <f>Але!D68</f>
        <v>172.239</v>
      </c>
      <c r="EG14" s="293">
        <f>EF14/EE14*100</f>
        <v>14.558943116026152</v>
      </c>
      <c r="EH14" s="298">
        <f>Але!C73</f>
        <v>1432.2249999999999</v>
      </c>
      <c r="EI14" s="298">
        <f>Але!D73</f>
        <v>890.82308999999998</v>
      </c>
      <c r="EJ14" s="293">
        <f>EI14/EH14*100</f>
        <v>62.198543524934976</v>
      </c>
      <c r="EK14" s="298">
        <f>Але!C77</f>
        <v>283</v>
      </c>
      <c r="EL14" s="306">
        <f>Але!D77</f>
        <v>264</v>
      </c>
      <c r="EM14" s="293">
        <f t="shared" ref="EM14:EM29" si="11">EL14/EK14*100</f>
        <v>93.28621908127208</v>
      </c>
      <c r="EN14" s="293">
        <f>Але!C79</f>
        <v>0</v>
      </c>
      <c r="EO14" s="293">
        <f>Але!D79</f>
        <v>0</v>
      </c>
      <c r="EP14" s="293" t="e">
        <f t="shared" ref="EP14:EP29" si="12">EO14/EN14*100</f>
        <v>#DIV/0!</v>
      </c>
      <c r="EQ14" s="294">
        <f>Але!C84</f>
        <v>2</v>
      </c>
      <c r="ER14" s="294">
        <f>Але!D84</f>
        <v>0</v>
      </c>
      <c r="ES14" s="293">
        <f>ER14/EQ14*100</f>
        <v>0</v>
      </c>
      <c r="ET14" s="293">
        <f>Але!C90</f>
        <v>0</v>
      </c>
      <c r="EU14" s="293">
        <f>Але!D90</f>
        <v>0</v>
      </c>
      <c r="EV14" s="293" t="e">
        <f>EU14/ET14*100</f>
        <v>#DIV/0!</v>
      </c>
      <c r="EW14" s="307">
        <f t="shared" ref="EW14:EW29" si="13">SUM(C14-DG14)</f>
        <v>-154.75804000000062</v>
      </c>
      <c r="EX14" s="307">
        <f t="shared" ref="EX14:EX29" si="14">SUM(D14-DH14)</f>
        <v>898.42540000000008</v>
      </c>
      <c r="EY14" s="293">
        <f>EX14/EW14*100%</f>
        <v>-5.8053552500406216</v>
      </c>
      <c r="EZ14" s="164"/>
      <c r="FA14" s="165"/>
      <c r="FC14" s="165"/>
    </row>
    <row r="15" spans="1:159" s="166" customFormat="1" ht="22.5" customHeight="1">
      <c r="A15" s="335">
        <v>2</v>
      </c>
      <c r="B15" s="337" t="s">
        <v>290</v>
      </c>
      <c r="C15" s="291">
        <f t="shared" si="0"/>
        <v>15503.44364</v>
      </c>
      <c r="D15" s="292">
        <f t="shared" si="1"/>
        <v>13763.023549999998</v>
      </c>
      <c r="E15" s="300">
        <f t="shared" si="2"/>
        <v>88.773977379389493</v>
      </c>
      <c r="F15" s="294">
        <f t="shared" si="3"/>
        <v>3998.06</v>
      </c>
      <c r="G15" s="294">
        <f t="shared" si="4"/>
        <v>3261.0417399999992</v>
      </c>
      <c r="H15" s="300">
        <f t="shared" ref="H15:H29" si="15">G15/F15*100</f>
        <v>81.565602817366397</v>
      </c>
      <c r="I15" s="308">
        <f>Сун!C6</f>
        <v>403.6</v>
      </c>
      <c r="J15" s="443">
        <f>Сун!D6</f>
        <v>299.84989999999999</v>
      </c>
      <c r="K15" s="300">
        <f t="shared" ref="K15:K29" si="16">J15/I15*100</f>
        <v>74.29383052527254</v>
      </c>
      <c r="L15" s="300">
        <f>Сун!C8</f>
        <v>275.86</v>
      </c>
      <c r="M15" s="300">
        <f>Сун!D8</f>
        <v>297.14875000000001</v>
      </c>
      <c r="N15" s="293">
        <f t="shared" ref="N15:N29" si="17">M15/L15*100</f>
        <v>107.71722975422315</v>
      </c>
      <c r="O15" s="293">
        <f>Сун!C9</f>
        <v>2.95</v>
      </c>
      <c r="P15" s="327">
        <f>Сун!D9</f>
        <v>2.1318100000000002</v>
      </c>
      <c r="Q15" s="293">
        <f t="shared" ref="Q15:Q29" si="18">P15/O15*100</f>
        <v>72.264745762711868</v>
      </c>
      <c r="R15" s="293">
        <f>Сун!C10</f>
        <v>460.75</v>
      </c>
      <c r="S15" s="293">
        <f>Сун!D10</f>
        <v>399.25704000000002</v>
      </c>
      <c r="T15" s="293">
        <f t="shared" ref="T15:T29" si="19">S15/R15*100</f>
        <v>86.653725447639715</v>
      </c>
      <c r="U15" s="293">
        <f>Сун!C11</f>
        <v>0</v>
      </c>
      <c r="V15" s="488">
        <f>Сун!D11</f>
        <v>-53.522509999999997</v>
      </c>
      <c r="W15" s="293" t="e">
        <f t="shared" ref="W15:W29" si="20">V15/U15*100</f>
        <v>#DIV/0!</v>
      </c>
      <c r="X15" s="308">
        <f>Сун!C13</f>
        <v>40</v>
      </c>
      <c r="Y15" s="308">
        <f>Сун!D13</f>
        <v>29.441220000000001</v>
      </c>
      <c r="Z15" s="300">
        <f t="shared" ref="Z15:Z29" si="21">Y15/X15*100</f>
        <v>73.603049999999996</v>
      </c>
      <c r="AA15" s="308">
        <f>Сун!C15</f>
        <v>1120</v>
      </c>
      <c r="AB15" s="299">
        <f>Сун!D15</f>
        <v>734.94443000000001</v>
      </c>
      <c r="AC15" s="300">
        <f t="shared" ref="AC15:AC29" si="22">AB15/AA15*100</f>
        <v>65.62003839285714</v>
      </c>
      <c r="AD15" s="308">
        <f>Сун!C16</f>
        <v>1241</v>
      </c>
      <c r="AE15" s="308">
        <f>Сун!D16</f>
        <v>1101.8780099999999</v>
      </c>
      <c r="AF15" s="300">
        <f t="shared" si="5"/>
        <v>88.789525382755826</v>
      </c>
      <c r="AG15" s="300">
        <f>Сун!C18</f>
        <v>10</v>
      </c>
      <c r="AH15" s="300">
        <f>Сун!D18</f>
        <v>7.66</v>
      </c>
      <c r="AI15" s="300">
        <f t="shared" ref="AI15:AI31" si="23">AH15/AG15*100</f>
        <v>76.599999999999994</v>
      </c>
      <c r="AJ15" s="300"/>
      <c r="AK15" s="300"/>
      <c r="AL15" s="300" t="e">
        <f t="shared" si="6"/>
        <v>#DIV/0!</v>
      </c>
      <c r="AM15" s="308">
        <f>Сун!C27</f>
        <v>0</v>
      </c>
      <c r="AN15" s="308">
        <f>Сун!D27</f>
        <v>0</v>
      </c>
      <c r="AO15" s="300" t="e">
        <f t="shared" si="7"/>
        <v>#DIV/0!</v>
      </c>
      <c r="AP15" s="308">
        <f>Сун!C28</f>
        <v>193.9</v>
      </c>
      <c r="AQ15" s="309">
        <f>Сун!D28</f>
        <v>39.700000000000003</v>
      </c>
      <c r="AR15" s="300">
        <f t="shared" ref="AR15:AR29" si="24">AQ15/AP15*100</f>
        <v>20.474471376998455</v>
      </c>
      <c r="AS15" s="302">
        <f>Сун!C29</f>
        <v>50</v>
      </c>
      <c r="AT15" s="309">
        <f>Сун!D29</f>
        <v>45.837000000000003</v>
      </c>
      <c r="AU15" s="300">
        <f t="shared" ref="AU15:AU29" si="25">AT15/AS15*100</f>
        <v>91.674000000000007</v>
      </c>
      <c r="AV15" s="308"/>
      <c r="AW15" s="308"/>
      <c r="AX15" s="300" t="e">
        <f t="shared" ref="AX15:AX29" si="26">AW15/AV15*100</f>
        <v>#DIV/0!</v>
      </c>
      <c r="AY15" s="300">
        <f>Сун!C31</f>
        <v>200</v>
      </c>
      <c r="AZ15" s="303">
        <f>Сун!D31</f>
        <v>62.058779999999999</v>
      </c>
      <c r="BA15" s="300">
        <f t="shared" ref="BA15:BA31" si="27">AZ15/AY15*100</f>
        <v>31.029389999999999</v>
      </c>
      <c r="BB15" s="300"/>
      <c r="BC15" s="300"/>
      <c r="BD15" s="300"/>
      <c r="BE15" s="300">
        <f>Сун!C32</f>
        <v>0</v>
      </c>
      <c r="BF15" s="491">
        <f>Сун!D32</f>
        <v>284.35000000000002</v>
      </c>
      <c r="BG15" s="300" t="e">
        <f t="shared" ref="BG15:BG31" si="28">BF15/BE15*100</f>
        <v>#DIV/0!</v>
      </c>
      <c r="BH15" s="300"/>
      <c r="BI15" s="300"/>
      <c r="BJ15" s="300" t="e">
        <f t="shared" ref="BJ15:BJ29" si="29">BI15/BH15*100</f>
        <v>#DIV/0!</v>
      </c>
      <c r="BK15" s="300">
        <f>Сун!C35</f>
        <v>0</v>
      </c>
      <c r="BL15" s="300">
        <f>Сун!D35</f>
        <v>12.836869999999999</v>
      </c>
      <c r="BM15" s="300"/>
      <c r="BN15" s="300">
        <f>Сун!C35</f>
        <v>0</v>
      </c>
      <c r="BO15" s="300">
        <f>Сун!D35</f>
        <v>12.836869999999999</v>
      </c>
      <c r="BP15" s="293" t="e">
        <f t="shared" ref="BP15:BP29" si="30">BO15/BN15*100</f>
        <v>#DIV/0!</v>
      </c>
      <c r="BQ15" s="300">
        <f>Сун!C37</f>
        <v>0</v>
      </c>
      <c r="BR15" s="459">
        <v>-2.52956</v>
      </c>
      <c r="BS15" s="300" t="e">
        <f t="shared" ref="BS15:BS29" si="31">BR15/BQ15*100</f>
        <v>#DIV/0!</v>
      </c>
      <c r="BT15" s="300"/>
      <c r="BU15" s="300"/>
      <c r="BV15" s="310" t="e">
        <f t="shared" ref="BV15:BV29" si="32">BT15/BU15*100</f>
        <v>#DIV/0!</v>
      </c>
      <c r="BW15" s="310"/>
      <c r="BX15" s="310"/>
      <c r="BY15" s="310" t="e">
        <f t="shared" ref="BY15:BY29" si="33">BW15/BX15*100</f>
        <v>#DIV/0!</v>
      </c>
      <c r="BZ15" s="298">
        <f t="shared" ref="BZ15:BZ29" si="34">CC15+CF15+CI15+CL15+CR15+CO15</f>
        <v>11505.38364</v>
      </c>
      <c r="CA15" s="298">
        <f t="shared" ref="CA15:CA29" si="35">CD15+CG15+CJ15+CM15+CS15+CP15+CV15</f>
        <v>10501.981809999999</v>
      </c>
      <c r="CB15" s="300">
        <f>CA15/BZ15*100</f>
        <v>91.278849437827176</v>
      </c>
      <c r="CC15" s="300">
        <f>Сун!C42</f>
        <v>3283.9</v>
      </c>
      <c r="CD15" s="300">
        <f>Сун!D42</f>
        <v>3010.194</v>
      </c>
      <c r="CE15" s="300">
        <f t="shared" ref="CE15:CE29" si="36">CD15/CC15*100</f>
        <v>91.665215140534116</v>
      </c>
      <c r="CF15" s="300">
        <f>Сун!C43</f>
        <v>572</v>
      </c>
      <c r="CG15" s="300">
        <f>Сун!D43</f>
        <v>500</v>
      </c>
      <c r="CH15" s="300">
        <f t="shared" ref="CH15:CH29" si="37">CG15/CF15*100</f>
        <v>87.412587412587413</v>
      </c>
      <c r="CI15" s="493">
        <f>Сун!C44</f>
        <v>3786.41896</v>
      </c>
      <c r="CJ15" s="300">
        <f>Сун!D44</f>
        <v>3578.47919</v>
      </c>
      <c r="CK15" s="300">
        <f t="shared" si="8"/>
        <v>94.508273590516779</v>
      </c>
      <c r="CL15" s="300">
        <f>Сун!C46</f>
        <v>198.36600000000001</v>
      </c>
      <c r="CM15" s="300">
        <f>Сун!D46</f>
        <v>180.68299999999999</v>
      </c>
      <c r="CN15" s="300">
        <f t="shared" si="9"/>
        <v>91.08566992327313</v>
      </c>
      <c r="CO15" s="471">
        <f>Сун!C47</f>
        <v>3603.6020800000001</v>
      </c>
      <c r="CP15" s="300">
        <f>Сун!D47</f>
        <v>3221.5290199999999</v>
      </c>
      <c r="CQ15" s="293">
        <f t="shared" ref="CQ15:CQ29" si="38">CP15/CO15*100</f>
        <v>89.397468102249505</v>
      </c>
      <c r="CR15" s="311">
        <f>Сун!C48</f>
        <v>61.096600000000002</v>
      </c>
      <c r="CS15" s="300">
        <f>Сун!D48</f>
        <v>11.0966</v>
      </c>
      <c r="CT15" s="300">
        <f t="shared" si="10"/>
        <v>18.162385468258464</v>
      </c>
      <c r="CU15" s="300"/>
      <c r="CV15" s="300"/>
      <c r="CW15" s="300"/>
      <c r="CX15" s="308"/>
      <c r="CY15" s="308"/>
      <c r="CZ15" s="300" t="e">
        <f t="shared" ref="CZ15:CZ29" si="39">CY15/CX15*100</f>
        <v>#DIV/0!</v>
      </c>
      <c r="DA15" s="300"/>
      <c r="DB15" s="300"/>
      <c r="DC15" s="300"/>
      <c r="DD15" s="300"/>
      <c r="DE15" s="300"/>
      <c r="DF15" s="300"/>
      <c r="DG15" s="302">
        <f>DJ15+DY15+EB15+EE15+EH15+EK15+EN15+EQ15+ET15</f>
        <v>15853.4347</v>
      </c>
      <c r="DH15" s="302">
        <f t="shared" ref="DG15:DH29" si="40">DK15+DZ15+EC15+EF15+EI15+EL15+EO15+ER15+EU15</f>
        <v>12168.342309999998</v>
      </c>
      <c r="DI15" s="300">
        <f t="shared" ref="DI15:DI29" si="41">DH15/DG15*100</f>
        <v>76.755242887523906</v>
      </c>
      <c r="DJ15" s="308">
        <f>DM15+DP15+DS15+DV15</f>
        <v>1818.443</v>
      </c>
      <c r="DK15" s="308">
        <f t="shared" ref="DJ15:DK29" si="42">DN15+DQ15+DT15+DW15</f>
        <v>1566.58286</v>
      </c>
      <c r="DL15" s="300">
        <f t="shared" ref="DL15:DL29" si="43">DK15/DJ15*100</f>
        <v>86.149681898195325</v>
      </c>
      <c r="DM15" s="300">
        <f>Сун!C59</f>
        <v>1754.6</v>
      </c>
      <c r="DN15" s="300">
        <f>Сун!D59</f>
        <v>1512.58286</v>
      </c>
      <c r="DO15" s="300">
        <f t="shared" ref="DO15:DO29" si="44">DN15/DM15*100</f>
        <v>86.20670580189217</v>
      </c>
      <c r="DP15" s="300">
        <f>Сун!C62</f>
        <v>53</v>
      </c>
      <c r="DQ15" s="300">
        <f>Сун!D62</f>
        <v>53</v>
      </c>
      <c r="DR15" s="300">
        <f t="shared" ref="DR15:DR29" si="45">DQ15/DP15*100</f>
        <v>100</v>
      </c>
      <c r="DS15" s="300">
        <f>Сун!C63</f>
        <v>5</v>
      </c>
      <c r="DT15" s="300">
        <f>Сун!D63</f>
        <v>0</v>
      </c>
      <c r="DU15" s="300">
        <f t="shared" ref="DU15:DU29" si="46">DT15/DS15*100</f>
        <v>0</v>
      </c>
      <c r="DV15" s="300">
        <f>Сун!C64</f>
        <v>5.843</v>
      </c>
      <c r="DW15" s="300">
        <f>Сун!D64</f>
        <v>1</v>
      </c>
      <c r="DX15" s="300">
        <f t="shared" ref="DX15:DX29" si="47">DW15/DV15*100</f>
        <v>17.114495978093444</v>
      </c>
      <c r="DY15" s="300">
        <f>Сун!C66</f>
        <v>198.36600000000001</v>
      </c>
      <c r="DZ15" s="300">
        <f>Сун!D66</f>
        <v>159.30777</v>
      </c>
      <c r="EA15" s="300">
        <f t="shared" ref="EA15:EA31" si="48">DZ15/DY15*100</f>
        <v>80.310017845800189</v>
      </c>
      <c r="EB15" s="300">
        <f>Сун!C67</f>
        <v>11.3</v>
      </c>
      <c r="EC15" s="300">
        <f>Сун!D67</f>
        <v>4.9219100000000005</v>
      </c>
      <c r="ED15" s="300">
        <f t="shared" ref="ED15:ED31" si="49">EC15/EB15*100</f>
        <v>43.556725663716819</v>
      </c>
      <c r="EE15" s="308">
        <f>Сун!C73</f>
        <v>4280.6790199999996</v>
      </c>
      <c r="EF15" s="308">
        <f>Сун!D73</f>
        <v>3738.00423</v>
      </c>
      <c r="EG15" s="300">
        <f t="shared" ref="EG15:EG29" si="50">EF15/EE15*100</f>
        <v>87.322693725352025</v>
      </c>
      <c r="EH15" s="308">
        <f>Сун!C78</f>
        <v>6081.7256799999996</v>
      </c>
      <c r="EI15" s="308">
        <f>Сун!D78</f>
        <v>5133.7254599999997</v>
      </c>
      <c r="EJ15" s="300">
        <f t="shared" ref="EJ15:EJ29" si="51">EI15/EH15*100</f>
        <v>84.412315354545882</v>
      </c>
      <c r="EK15" s="308">
        <f>Сун!C83</f>
        <v>3443.51</v>
      </c>
      <c r="EL15" s="312">
        <f>Сун!D83</f>
        <v>1550.86508</v>
      </c>
      <c r="EM15" s="300">
        <f t="shared" si="11"/>
        <v>45.037333418517733</v>
      </c>
      <c r="EN15" s="300">
        <f>Сун!C86</f>
        <v>2</v>
      </c>
      <c r="EO15" s="300">
        <f>Сун!D86</f>
        <v>2</v>
      </c>
      <c r="EP15" s="300">
        <f t="shared" si="12"/>
        <v>100</v>
      </c>
      <c r="EQ15" s="313">
        <f>Сун!C91</f>
        <v>17.411000000000001</v>
      </c>
      <c r="ER15" s="313">
        <f>Сун!D91</f>
        <v>12.935</v>
      </c>
      <c r="ES15" s="300">
        <f t="shared" ref="ES15:ES29" si="52">ER15/EQ15*100</f>
        <v>74.292114180690362</v>
      </c>
      <c r="ET15" s="300">
        <f>Сун!C97</f>
        <v>0</v>
      </c>
      <c r="EU15" s="300">
        <f>Сун!D97</f>
        <v>0</v>
      </c>
      <c r="EV15" s="293" t="e">
        <f>EU15/ET15*100</f>
        <v>#DIV/0!</v>
      </c>
      <c r="EW15" s="307">
        <f t="shared" si="13"/>
        <v>-349.99106000000029</v>
      </c>
      <c r="EX15" s="307">
        <f t="shared" si="14"/>
        <v>1594.6812399999999</v>
      </c>
      <c r="EY15" s="293">
        <f>EX15/EW15*100%</f>
        <v>-4.5563484964444481</v>
      </c>
      <c r="EZ15" s="164"/>
      <c r="FA15" s="165"/>
      <c r="FC15" s="165"/>
    </row>
    <row r="16" spans="1:159" s="162" customFormat="1" ht="25.5" customHeight="1">
      <c r="A16" s="335">
        <v>3</v>
      </c>
      <c r="B16" s="337" t="s">
        <v>291</v>
      </c>
      <c r="C16" s="314">
        <f t="shared" si="0"/>
        <v>28141.270089999998</v>
      </c>
      <c r="D16" s="292">
        <f t="shared" si="1"/>
        <v>16522.170450000001</v>
      </c>
      <c r="E16" s="300">
        <f t="shared" si="2"/>
        <v>58.711530777252143</v>
      </c>
      <c r="F16" s="294">
        <f t="shared" si="3"/>
        <v>2280.7840000000001</v>
      </c>
      <c r="G16" s="294">
        <f t="shared" si="4"/>
        <v>1818.6997000000001</v>
      </c>
      <c r="H16" s="300">
        <f t="shared" si="15"/>
        <v>79.740111295063457</v>
      </c>
      <c r="I16" s="315">
        <f>Иль!C6</f>
        <v>71.7</v>
      </c>
      <c r="J16" s="442">
        <f>Иль!D6</f>
        <v>59.695590000000003</v>
      </c>
      <c r="K16" s="300">
        <f t="shared" si="16"/>
        <v>83.25744769874477</v>
      </c>
      <c r="L16" s="300">
        <f>Иль!C8</f>
        <v>260.69</v>
      </c>
      <c r="M16" s="300">
        <f>Иль!D8</f>
        <v>280.81067000000002</v>
      </c>
      <c r="N16" s="293">
        <f t="shared" si="17"/>
        <v>107.71823621926427</v>
      </c>
      <c r="O16" s="293">
        <f>Иль!C9</f>
        <v>2.79</v>
      </c>
      <c r="P16" s="327">
        <f>Иль!D9</f>
        <v>2.0146299999999999</v>
      </c>
      <c r="Q16" s="293">
        <f t="shared" si="18"/>
        <v>72.208960573476702</v>
      </c>
      <c r="R16" s="293">
        <f>Иль!C10</f>
        <v>435.41</v>
      </c>
      <c r="S16" s="293">
        <f>Иль!D10</f>
        <v>377.30479000000003</v>
      </c>
      <c r="T16" s="293">
        <f t="shared" si="19"/>
        <v>86.655058450655702</v>
      </c>
      <c r="U16" s="293">
        <f>Иль!C11</f>
        <v>0</v>
      </c>
      <c r="V16" s="488">
        <f>Иль!D11</f>
        <v>-50.579700000000003</v>
      </c>
      <c r="W16" s="293" t="e">
        <f t="shared" si="20"/>
        <v>#DIV/0!</v>
      </c>
      <c r="X16" s="308">
        <f>Иль!C13</f>
        <v>10</v>
      </c>
      <c r="Y16" s="308">
        <f>Иль!D13</f>
        <v>7.3388999999999998</v>
      </c>
      <c r="Z16" s="300">
        <f t="shared" si="21"/>
        <v>73.388999999999996</v>
      </c>
      <c r="AA16" s="308">
        <f>Иль!C15</f>
        <v>310</v>
      </c>
      <c r="AB16" s="299">
        <f>Иль!D15</f>
        <v>142.32015000000001</v>
      </c>
      <c r="AC16" s="300">
        <f t="shared" si="22"/>
        <v>45.909725806451618</v>
      </c>
      <c r="AD16" s="308">
        <f>Иль!C16</f>
        <v>750</v>
      </c>
      <c r="AE16" s="308">
        <f>Иль!D16</f>
        <v>640.63620000000003</v>
      </c>
      <c r="AF16" s="300">
        <f t="shared" si="5"/>
        <v>85.418160000000015</v>
      </c>
      <c r="AG16" s="300">
        <f>Иль!C18</f>
        <v>4</v>
      </c>
      <c r="AH16" s="300">
        <f>Иль!D18</f>
        <v>2</v>
      </c>
      <c r="AI16" s="300">
        <f t="shared" si="23"/>
        <v>50</v>
      </c>
      <c r="AJ16" s="300"/>
      <c r="AK16" s="300"/>
      <c r="AL16" s="300" t="e">
        <f t="shared" si="6"/>
        <v>#DIV/0!</v>
      </c>
      <c r="AM16" s="308">
        <f>Иль!C27</f>
        <v>0</v>
      </c>
      <c r="AN16" s="308">
        <f>Иль!D27</f>
        <v>0</v>
      </c>
      <c r="AO16" s="300" t="e">
        <f t="shared" si="7"/>
        <v>#DIV/0!</v>
      </c>
      <c r="AP16" s="308">
        <f>Иль!C28</f>
        <v>328.6</v>
      </c>
      <c r="AQ16" s="309">
        <f>Иль!D28</f>
        <v>286.35142000000002</v>
      </c>
      <c r="AR16" s="300">
        <f t="shared" si="24"/>
        <v>87.14285453438832</v>
      </c>
      <c r="AS16" s="302">
        <f>Иль!C29</f>
        <v>30.6</v>
      </c>
      <c r="AT16" s="309">
        <f>Иль!D29</f>
        <v>23.790749999999999</v>
      </c>
      <c r="AU16" s="300">
        <f t="shared" si="25"/>
        <v>77.747549019607845</v>
      </c>
      <c r="AV16" s="308"/>
      <c r="AW16" s="308"/>
      <c r="AX16" s="300" t="e">
        <f t="shared" si="26"/>
        <v>#DIV/0!</v>
      </c>
      <c r="AY16" s="300">
        <f>Иль!C30</f>
        <v>60</v>
      </c>
      <c r="AZ16" s="303">
        <f>Иль!D30</f>
        <v>19.040310000000002</v>
      </c>
      <c r="BA16" s="300">
        <f t="shared" si="27"/>
        <v>31.733850000000004</v>
      </c>
      <c r="BB16" s="300"/>
      <c r="BC16" s="300"/>
      <c r="BD16" s="300"/>
      <c r="BE16" s="300">
        <f>Иль!C32</f>
        <v>16.994</v>
      </c>
      <c r="BF16" s="491">
        <f>Иль!D33</f>
        <v>16.994</v>
      </c>
      <c r="BG16" s="300">
        <f t="shared" si="28"/>
        <v>100</v>
      </c>
      <c r="BH16" s="300"/>
      <c r="BI16" s="300"/>
      <c r="BJ16" s="300" t="e">
        <f t="shared" si="29"/>
        <v>#DIV/0!</v>
      </c>
      <c r="BK16" s="300"/>
      <c r="BL16" s="300"/>
      <c r="BM16" s="300"/>
      <c r="BN16" s="300">
        <f>Иль!C35</f>
        <v>0</v>
      </c>
      <c r="BO16" s="300">
        <f>Иль!D35</f>
        <v>10.98199</v>
      </c>
      <c r="BP16" s="293" t="e">
        <f t="shared" si="30"/>
        <v>#DIV/0!</v>
      </c>
      <c r="BQ16" s="300">
        <v>0</v>
      </c>
      <c r="BR16" s="459">
        <f>Иль!D38</f>
        <v>0</v>
      </c>
      <c r="BS16" s="300" t="e">
        <f t="shared" si="31"/>
        <v>#DIV/0!</v>
      </c>
      <c r="BT16" s="300"/>
      <c r="BU16" s="300"/>
      <c r="BV16" s="310" t="e">
        <f t="shared" si="32"/>
        <v>#DIV/0!</v>
      </c>
      <c r="BW16" s="310"/>
      <c r="BX16" s="310"/>
      <c r="BY16" s="310" t="e">
        <f t="shared" si="33"/>
        <v>#DIV/0!</v>
      </c>
      <c r="BZ16" s="298">
        <f>CC16+CF16+CI16+CL16+CR16+CO16</f>
        <v>25860.486089999999</v>
      </c>
      <c r="CA16" s="298">
        <f>CD16+CG16+CJ16+CM16+CS16+CP16+CV16</f>
        <v>14703.47075</v>
      </c>
      <c r="CB16" s="300">
        <f>CA16/BZ16*100</f>
        <v>56.856900132614641</v>
      </c>
      <c r="CC16" s="300">
        <f>Иль!C43</f>
        <v>1706.8</v>
      </c>
      <c r="CD16" s="300">
        <f>Иль!D43</f>
        <v>1564.5409999999999</v>
      </c>
      <c r="CE16" s="300">
        <f t="shared" si="36"/>
        <v>91.665162877900158</v>
      </c>
      <c r="CF16" s="300">
        <v>1077.5129999999999</v>
      </c>
      <c r="CG16" s="300">
        <v>800</v>
      </c>
      <c r="CH16" s="300">
        <f t="shared" si="37"/>
        <v>74.245043911303171</v>
      </c>
      <c r="CI16" s="293">
        <f>SUM(Иль!C45)</f>
        <v>4810.0342199999996</v>
      </c>
      <c r="CJ16" s="300">
        <f>SUM(Иль!D45)</f>
        <v>2933.0690300000001</v>
      </c>
      <c r="CK16" s="300">
        <f>CJ16/CI16*100</f>
        <v>60.978132292788558</v>
      </c>
      <c r="CL16" s="300">
        <f>Иль!C47</f>
        <v>198.36600000000001</v>
      </c>
      <c r="CM16" s="300">
        <f>Иль!D47</f>
        <v>180.68299999999999</v>
      </c>
      <c r="CN16" s="300">
        <f t="shared" si="9"/>
        <v>91.08566992327313</v>
      </c>
      <c r="CO16" s="471">
        <f>Иль!C48</f>
        <v>17830.57559</v>
      </c>
      <c r="CP16" s="300">
        <f>Иль!D48</f>
        <v>8957.2977200000005</v>
      </c>
      <c r="CQ16" s="293">
        <f t="shared" si="38"/>
        <v>50.235606106981542</v>
      </c>
      <c r="CR16" s="311">
        <f>Иль!C49</f>
        <v>237.19728000000001</v>
      </c>
      <c r="CS16" s="300">
        <f>Иль!D49</f>
        <v>267.88</v>
      </c>
      <c r="CT16" s="300">
        <f t="shared" si="10"/>
        <v>112.93552775984614</v>
      </c>
      <c r="CU16" s="300"/>
      <c r="CV16" s="300"/>
      <c r="CW16" s="300"/>
      <c r="CX16" s="308"/>
      <c r="CY16" s="308"/>
      <c r="CZ16" s="300" t="e">
        <f t="shared" si="39"/>
        <v>#DIV/0!</v>
      </c>
      <c r="DA16" s="300"/>
      <c r="DB16" s="300"/>
      <c r="DC16" s="300"/>
      <c r="DD16" s="300"/>
      <c r="DE16" s="300"/>
      <c r="DF16" s="300">
        <v>0</v>
      </c>
      <c r="DG16" s="302">
        <f t="shared" si="40"/>
        <v>28599.78328</v>
      </c>
      <c r="DH16" s="302">
        <f t="shared" si="40"/>
        <v>15972.77448</v>
      </c>
      <c r="DI16" s="300">
        <f t="shared" si="41"/>
        <v>55.849285022973781</v>
      </c>
      <c r="DJ16" s="308">
        <f t="shared" si="42"/>
        <v>1377.4740000000002</v>
      </c>
      <c r="DK16" s="308">
        <f t="shared" si="42"/>
        <v>1278.2563500000001</v>
      </c>
      <c r="DL16" s="300">
        <f t="shared" si="43"/>
        <v>92.797130835137352</v>
      </c>
      <c r="DM16" s="300">
        <f>Иль!C59</f>
        <v>1341.9</v>
      </c>
      <c r="DN16" s="300">
        <f>Иль!D59</f>
        <v>1250.35635</v>
      </c>
      <c r="DO16" s="300">
        <f t="shared" si="44"/>
        <v>93.178057232282583</v>
      </c>
      <c r="DP16" s="300">
        <f>Иль!C62</f>
        <v>23</v>
      </c>
      <c r="DQ16" s="300">
        <f>Иль!D62</f>
        <v>23</v>
      </c>
      <c r="DR16" s="300">
        <f t="shared" si="45"/>
        <v>100</v>
      </c>
      <c r="DS16" s="300">
        <f>Иль!C63</f>
        <v>5</v>
      </c>
      <c r="DT16" s="300">
        <f>Иль!D63</f>
        <v>0</v>
      </c>
      <c r="DU16" s="300">
        <f t="shared" si="46"/>
        <v>0</v>
      </c>
      <c r="DV16" s="300">
        <f>Иль!C64</f>
        <v>7.5739999999999998</v>
      </c>
      <c r="DW16" s="300">
        <f>Иль!D64</f>
        <v>4.9000000000000004</v>
      </c>
      <c r="DX16" s="300">
        <f t="shared" si="47"/>
        <v>64.695009242144181</v>
      </c>
      <c r="DY16" s="300">
        <f>Иль!C66</f>
        <v>198.36600000000001</v>
      </c>
      <c r="DZ16" s="300">
        <f>Иль!D66</f>
        <v>160.7176</v>
      </c>
      <c r="EA16" s="300">
        <f t="shared" si="48"/>
        <v>81.020739441234895</v>
      </c>
      <c r="EB16" s="300">
        <f>Иль!C67</f>
        <v>7</v>
      </c>
      <c r="EC16" s="300">
        <f>Иль!D67</f>
        <v>2.8696000000000002</v>
      </c>
      <c r="ED16" s="300">
        <f t="shared" si="49"/>
        <v>40.994285714285716</v>
      </c>
      <c r="EE16" s="308">
        <f>Иль!C73</f>
        <v>5315.4870199999996</v>
      </c>
      <c r="EF16" s="308">
        <f>Иль!D73</f>
        <v>3027.2862</v>
      </c>
      <c r="EG16" s="300">
        <f t="shared" si="50"/>
        <v>56.952188738483656</v>
      </c>
      <c r="EH16" s="308">
        <f>Иль!C80</f>
        <v>6633.8727900000004</v>
      </c>
      <c r="EI16" s="308">
        <f>Иль!D80</f>
        <v>6073.4783799999996</v>
      </c>
      <c r="EJ16" s="300">
        <f t="shared" si="51"/>
        <v>91.552530056880983</v>
      </c>
      <c r="EK16" s="308">
        <f>Иль!C84</f>
        <v>15065.58347</v>
      </c>
      <c r="EL16" s="312">
        <f>Иль!D84</f>
        <v>5430.1663500000004</v>
      </c>
      <c r="EM16" s="300">
        <f t="shared" si="11"/>
        <v>36.043518399490175</v>
      </c>
      <c r="EN16" s="300">
        <f>Иль!C86</f>
        <v>0</v>
      </c>
      <c r="EO16" s="300">
        <f>Иль!D86</f>
        <v>0</v>
      </c>
      <c r="EP16" s="300" t="e">
        <f t="shared" si="12"/>
        <v>#DIV/0!</v>
      </c>
      <c r="EQ16" s="313">
        <f>Иль!C91</f>
        <v>2</v>
      </c>
      <c r="ER16" s="313">
        <f>Иль!D91</f>
        <v>0</v>
      </c>
      <c r="ES16" s="300">
        <f t="shared" si="52"/>
        <v>0</v>
      </c>
      <c r="ET16" s="300">
        <f>Иль!C97</f>
        <v>0</v>
      </c>
      <c r="EU16" s="300">
        <f>Иль!D97</f>
        <v>0</v>
      </c>
      <c r="EV16" s="293" t="e">
        <f t="shared" ref="EV16:EV29" si="53">EU16/ET16*100</f>
        <v>#DIV/0!</v>
      </c>
      <c r="EW16" s="307">
        <f t="shared" si="13"/>
        <v>-458.51319000000149</v>
      </c>
      <c r="EX16" s="307">
        <f t="shared" si="14"/>
        <v>549.3959700000014</v>
      </c>
      <c r="EY16" s="293">
        <f>EX16/EW16*100</f>
        <v>-119.8211920577464</v>
      </c>
      <c r="EZ16" s="164"/>
      <c r="FA16" s="165"/>
      <c r="FC16" s="165"/>
    </row>
    <row r="17" spans="1:170" s="162" customFormat="1" ht="22.5" customHeight="1">
      <c r="A17" s="335">
        <v>4</v>
      </c>
      <c r="B17" s="337" t="s">
        <v>292</v>
      </c>
      <c r="C17" s="314">
        <f t="shared" si="0"/>
        <v>10231.887580000001</v>
      </c>
      <c r="D17" s="292">
        <f t="shared" si="1"/>
        <v>9410.3487100000002</v>
      </c>
      <c r="E17" s="300">
        <f t="shared" si="2"/>
        <v>91.970798510278399</v>
      </c>
      <c r="F17" s="294">
        <f t="shared" si="3"/>
        <v>5020.0625799999998</v>
      </c>
      <c r="G17" s="294">
        <f t="shared" si="4"/>
        <v>5244.1057099999998</v>
      </c>
      <c r="H17" s="300">
        <f t="shared" si="15"/>
        <v>104.46295492196833</v>
      </c>
      <c r="I17" s="308">
        <f>Кад!C6</f>
        <v>484.2</v>
      </c>
      <c r="J17" s="443">
        <f>Кад!D6</f>
        <v>419.28741000000002</v>
      </c>
      <c r="K17" s="300">
        <f t="shared" si="16"/>
        <v>86.593847583643125</v>
      </c>
      <c r="L17" s="300">
        <f>Кад!C8</f>
        <v>310.93</v>
      </c>
      <c r="M17" s="300">
        <f>Кад!D8</f>
        <v>334.93049999999999</v>
      </c>
      <c r="N17" s="293">
        <f t="shared" si="17"/>
        <v>107.71893995433055</v>
      </c>
      <c r="O17" s="293">
        <f>Кад!C9</f>
        <v>3.33</v>
      </c>
      <c r="P17" s="327">
        <f>Кад!D9</f>
        <v>2.40286</v>
      </c>
      <c r="Q17" s="293">
        <f t="shared" si="18"/>
        <v>72.157957957957947</v>
      </c>
      <c r="R17" s="293">
        <f>Кад!C10</f>
        <v>519.33000000000004</v>
      </c>
      <c r="S17" s="293">
        <f>Кад!D10</f>
        <v>450.02168</v>
      </c>
      <c r="T17" s="293">
        <f t="shared" si="19"/>
        <v>86.654281478058266</v>
      </c>
      <c r="U17" s="293">
        <f>Кад!C11</f>
        <v>0</v>
      </c>
      <c r="V17" s="488">
        <f>Кад!D11</f>
        <v>-60.327750000000002</v>
      </c>
      <c r="W17" s="293" t="e">
        <f t="shared" si="20"/>
        <v>#DIV/0!</v>
      </c>
      <c r="X17" s="308">
        <f>Кад!C13</f>
        <v>100</v>
      </c>
      <c r="Y17" s="308">
        <f>Кад!D13</f>
        <v>97.428640000000001</v>
      </c>
      <c r="Z17" s="300">
        <f t="shared" si="21"/>
        <v>97.428640000000001</v>
      </c>
      <c r="AA17" s="308">
        <f>Кад!C15</f>
        <v>340</v>
      </c>
      <c r="AB17" s="299">
        <f>Кад!D15</f>
        <v>329.58305000000001</v>
      </c>
      <c r="AC17" s="300">
        <f t="shared" si="22"/>
        <v>96.936191176470587</v>
      </c>
      <c r="AD17" s="308">
        <f>Кад!C16</f>
        <v>2944.7725799999998</v>
      </c>
      <c r="AE17" s="308">
        <f>Кад!D16</f>
        <v>3520.10167</v>
      </c>
      <c r="AF17" s="300">
        <f t="shared" si="5"/>
        <v>119.53730124721551</v>
      </c>
      <c r="AG17" s="300">
        <f>Кад!C18</f>
        <v>20</v>
      </c>
      <c r="AH17" s="300">
        <f>Кад!D18</f>
        <v>5.9</v>
      </c>
      <c r="AI17" s="300">
        <f t="shared" si="23"/>
        <v>29.500000000000004</v>
      </c>
      <c r="AJ17" s="300"/>
      <c r="AK17" s="300"/>
      <c r="AL17" s="300" t="e">
        <f t="shared" si="6"/>
        <v>#DIV/0!</v>
      </c>
      <c r="AM17" s="308">
        <v>0</v>
      </c>
      <c r="AN17" s="308">
        <v>0</v>
      </c>
      <c r="AO17" s="300" t="e">
        <f t="shared" si="7"/>
        <v>#DIV/0!</v>
      </c>
      <c r="AP17" s="308">
        <f>Кад!C27</f>
        <v>215.5</v>
      </c>
      <c r="AQ17" s="309">
        <f>Кад!D27</f>
        <v>70.754000000000005</v>
      </c>
      <c r="AR17" s="300">
        <f t="shared" si="24"/>
        <v>32.832482598607896</v>
      </c>
      <c r="AS17" s="302">
        <f>Кад!C28</f>
        <v>12</v>
      </c>
      <c r="AT17" s="309">
        <f>Кад!D28</f>
        <v>9</v>
      </c>
      <c r="AU17" s="300">
        <f t="shared" si="25"/>
        <v>75</v>
      </c>
      <c r="AV17" s="308"/>
      <c r="AW17" s="308"/>
      <c r="AX17" s="300" t="e">
        <f t="shared" si="26"/>
        <v>#DIV/0!</v>
      </c>
      <c r="AY17" s="300">
        <f>Кад!C30</f>
        <v>70</v>
      </c>
      <c r="AZ17" s="303">
        <f>Кад!D30</f>
        <v>51.111789999999999</v>
      </c>
      <c r="BA17" s="300">
        <f t="shared" si="27"/>
        <v>73.016842857142862</v>
      </c>
      <c r="BB17" s="300"/>
      <c r="BC17" s="300"/>
      <c r="BD17" s="300"/>
      <c r="BE17" s="300">
        <f>Кад!C33</f>
        <v>0</v>
      </c>
      <c r="BF17" s="491">
        <f>Кад!D33</f>
        <v>0</v>
      </c>
      <c r="BG17" s="300" t="e">
        <f t="shared" si="28"/>
        <v>#DIV/0!</v>
      </c>
      <c r="BH17" s="300"/>
      <c r="BI17" s="300"/>
      <c r="BJ17" s="300" t="e">
        <f t="shared" si="29"/>
        <v>#DIV/0!</v>
      </c>
      <c r="BK17" s="300"/>
      <c r="BL17" s="300"/>
      <c r="BM17" s="300"/>
      <c r="BN17" s="300">
        <f>Кад!C34</f>
        <v>0</v>
      </c>
      <c r="BO17" s="300">
        <f>Кад!D34</f>
        <v>13.911860000000001</v>
      </c>
      <c r="BP17" s="293" t="e">
        <f t="shared" si="30"/>
        <v>#DIV/0!</v>
      </c>
      <c r="BQ17" s="300">
        <f>Кад!C36</f>
        <v>0</v>
      </c>
      <c r="BR17" s="459">
        <f>Кад!D36</f>
        <v>0</v>
      </c>
      <c r="BS17" s="300" t="e">
        <f t="shared" si="31"/>
        <v>#DIV/0!</v>
      </c>
      <c r="BT17" s="300"/>
      <c r="BU17" s="300"/>
      <c r="BV17" s="310" t="e">
        <f t="shared" si="32"/>
        <v>#DIV/0!</v>
      </c>
      <c r="BW17" s="310"/>
      <c r="BX17" s="310"/>
      <c r="BY17" s="310" t="e">
        <f t="shared" si="33"/>
        <v>#DIV/0!</v>
      </c>
      <c r="BZ17" s="298">
        <f t="shared" si="34"/>
        <v>5211.8250000000007</v>
      </c>
      <c r="CA17" s="298">
        <f>CD17+CG17+CJ17+CM17+CS17+CP17+CV17</f>
        <v>4166.2430000000004</v>
      </c>
      <c r="CB17" s="300">
        <f>CA17/BZ17*100</f>
        <v>79.938274980453102</v>
      </c>
      <c r="CC17" s="300">
        <f>Кад!C41</f>
        <v>1196.5999999999999</v>
      </c>
      <c r="CD17" s="300">
        <f>Кад!D41</f>
        <v>1096.865</v>
      </c>
      <c r="CE17" s="300">
        <f t="shared" si="36"/>
        <v>91.665134547885685</v>
      </c>
      <c r="CF17" s="300">
        <f>Кад!C42</f>
        <v>0</v>
      </c>
      <c r="CG17" s="300">
        <f>Кад!D42</f>
        <v>0</v>
      </c>
      <c r="CH17" s="300" t="e">
        <f t="shared" si="37"/>
        <v>#DIV/0!</v>
      </c>
      <c r="CI17" s="293">
        <f>Кад!C43</f>
        <v>2518.0990000000002</v>
      </c>
      <c r="CJ17" s="300">
        <f>Кад!D43</f>
        <v>1789.9349999999999</v>
      </c>
      <c r="CK17" s="300">
        <f t="shared" si="8"/>
        <v>71.082789040462657</v>
      </c>
      <c r="CL17" s="300">
        <f>Кад!C45</f>
        <v>198.36600000000001</v>
      </c>
      <c r="CM17" s="300">
        <f>Кад!D45</f>
        <v>180.68299999999999</v>
      </c>
      <c r="CN17" s="300">
        <f t="shared" si="9"/>
        <v>91.08566992327313</v>
      </c>
      <c r="CO17" s="471">
        <f>Кад!C46</f>
        <v>1200</v>
      </c>
      <c r="CP17" s="300">
        <f>Кад!D46</f>
        <v>1000</v>
      </c>
      <c r="CQ17" s="293">
        <f t="shared" si="38"/>
        <v>83.333333333333343</v>
      </c>
      <c r="CR17" s="311">
        <f>Кад!C47</f>
        <v>98.76</v>
      </c>
      <c r="CS17" s="300">
        <f>Кад!D47</f>
        <v>98.76</v>
      </c>
      <c r="CT17" s="300">
        <f t="shared" si="10"/>
        <v>100</v>
      </c>
      <c r="CU17" s="300"/>
      <c r="CV17" s="300"/>
      <c r="CW17" s="300"/>
      <c r="CX17" s="308"/>
      <c r="CY17" s="308"/>
      <c r="CZ17" s="300" t="e">
        <f t="shared" si="39"/>
        <v>#DIV/0!</v>
      </c>
      <c r="DA17" s="300"/>
      <c r="DB17" s="300"/>
      <c r="DC17" s="300"/>
      <c r="DD17" s="300"/>
      <c r="DE17" s="300"/>
      <c r="DF17" s="300"/>
      <c r="DG17" s="302">
        <f t="shared" si="40"/>
        <v>10625.6577</v>
      </c>
      <c r="DH17" s="302">
        <f t="shared" si="40"/>
        <v>8149.6528199999993</v>
      </c>
      <c r="DI17" s="300">
        <f t="shared" si="41"/>
        <v>76.697867088265042</v>
      </c>
      <c r="DJ17" s="308">
        <f t="shared" si="42"/>
        <v>1694.434</v>
      </c>
      <c r="DK17" s="308">
        <f t="shared" si="42"/>
        <v>1452.9612999999999</v>
      </c>
      <c r="DL17" s="300">
        <f t="shared" si="43"/>
        <v>85.749064289314305</v>
      </c>
      <c r="DM17" s="300">
        <f>Кад!C57</f>
        <v>1637</v>
      </c>
      <c r="DN17" s="300">
        <f>Кад!D57</f>
        <v>1407.9612999999999</v>
      </c>
      <c r="DO17" s="300">
        <f t="shared" si="44"/>
        <v>86.008631643249842</v>
      </c>
      <c r="DP17" s="300">
        <f>Кад!C60</f>
        <v>44</v>
      </c>
      <c r="DQ17" s="300">
        <f>Кад!D60</f>
        <v>44</v>
      </c>
      <c r="DR17" s="300">
        <f t="shared" si="45"/>
        <v>100</v>
      </c>
      <c r="DS17" s="300">
        <f>Кад!C61</f>
        <v>5</v>
      </c>
      <c r="DT17" s="300">
        <f>Кад!D61</f>
        <v>0</v>
      </c>
      <c r="DU17" s="300">
        <f t="shared" si="46"/>
        <v>0</v>
      </c>
      <c r="DV17" s="300">
        <f>Кад!C62</f>
        <v>8.4339999999999993</v>
      </c>
      <c r="DW17" s="300">
        <f>Кад!D62</f>
        <v>1</v>
      </c>
      <c r="DX17" s="300">
        <f t="shared" si="47"/>
        <v>11.856770215793219</v>
      </c>
      <c r="DY17" s="300">
        <f>Кад!C64</f>
        <v>198.36600000000001</v>
      </c>
      <c r="DZ17" s="300">
        <f>Кад!D64</f>
        <v>134.45831000000001</v>
      </c>
      <c r="EA17" s="300">
        <f t="shared" si="48"/>
        <v>67.782941633142784</v>
      </c>
      <c r="EB17" s="300">
        <f>Кад!C65</f>
        <v>7.2696000000000005</v>
      </c>
      <c r="EC17" s="300">
        <f>Кад!D65</f>
        <v>6.6696</v>
      </c>
      <c r="ED17" s="300">
        <f t="shared" si="49"/>
        <v>91.746450973918783</v>
      </c>
      <c r="EE17" s="308">
        <f>Кад!C71</f>
        <v>3142.2662999999998</v>
      </c>
      <c r="EF17" s="308">
        <f>Кад!D71</f>
        <v>1796.0432800000001</v>
      </c>
      <c r="EG17" s="300">
        <f t="shared" si="50"/>
        <v>57.157577001032664</v>
      </c>
      <c r="EH17" s="308">
        <f>Кад!C76</f>
        <v>3606.1217999999999</v>
      </c>
      <c r="EI17" s="308">
        <f>Кад!D76</f>
        <v>3059.5203299999998</v>
      </c>
      <c r="EJ17" s="300">
        <f t="shared" si="51"/>
        <v>84.84240132987189</v>
      </c>
      <c r="EK17" s="308">
        <f>Кад!C80</f>
        <v>1975.2</v>
      </c>
      <c r="EL17" s="312">
        <f>Кад!D80</f>
        <v>1700</v>
      </c>
      <c r="EM17" s="300">
        <f t="shared" si="11"/>
        <v>86.067233697853382</v>
      </c>
      <c r="EN17" s="300">
        <f>Кад!C82</f>
        <v>0</v>
      </c>
      <c r="EO17" s="300">
        <f>Кад!D82</f>
        <v>0</v>
      </c>
      <c r="EP17" s="300" t="e">
        <f t="shared" si="12"/>
        <v>#DIV/0!</v>
      </c>
      <c r="EQ17" s="313">
        <f>Кад!C87</f>
        <v>2</v>
      </c>
      <c r="ER17" s="313">
        <f>Кад!D87</f>
        <v>0</v>
      </c>
      <c r="ES17" s="300">
        <f t="shared" si="52"/>
        <v>0</v>
      </c>
      <c r="ET17" s="300">
        <f>Кад!C93</f>
        <v>0</v>
      </c>
      <c r="EU17" s="300">
        <f>Кад!D93</f>
        <v>0</v>
      </c>
      <c r="EV17" s="293" t="e">
        <f t="shared" si="53"/>
        <v>#DIV/0!</v>
      </c>
      <c r="EW17" s="307">
        <f t="shared" si="13"/>
        <v>-393.77011999999922</v>
      </c>
      <c r="EX17" s="307">
        <f t="shared" si="14"/>
        <v>1260.6958900000009</v>
      </c>
      <c r="EY17" s="293">
        <f>EX17/EW17*100</f>
        <v>-320.16037428132012</v>
      </c>
      <c r="EZ17" s="164"/>
      <c r="FA17" s="165"/>
      <c r="FC17" s="165"/>
    </row>
    <row r="18" spans="1:170" s="174" customFormat="1" ht="20.25" customHeight="1">
      <c r="A18" s="338">
        <v>5</v>
      </c>
      <c r="B18" s="339" t="s">
        <v>293</v>
      </c>
      <c r="C18" s="316">
        <f t="shared" si="0"/>
        <v>26394.578399999999</v>
      </c>
      <c r="D18" s="317">
        <f t="shared" si="1"/>
        <v>14284.099639999999</v>
      </c>
      <c r="E18" s="303">
        <f t="shared" si="2"/>
        <v>54.117551807533317</v>
      </c>
      <c r="F18" s="294">
        <f t="shared" si="3"/>
        <v>4882.71</v>
      </c>
      <c r="G18" s="318">
        <f t="shared" si="4"/>
        <v>4421.842419999999</v>
      </c>
      <c r="H18" s="303">
        <f t="shared" si="15"/>
        <v>90.561233823020387</v>
      </c>
      <c r="I18" s="296">
        <f>Мор!C6</f>
        <v>1917</v>
      </c>
      <c r="J18" s="442">
        <f>Мор!D6</f>
        <v>1718.5814</v>
      </c>
      <c r="K18" s="303">
        <f t="shared" si="16"/>
        <v>89.64952529994784</v>
      </c>
      <c r="L18" s="303">
        <f>Мор!C8</f>
        <v>153.57</v>
      </c>
      <c r="M18" s="303">
        <f>Мор!D8</f>
        <v>165.42293000000001</v>
      </c>
      <c r="N18" s="303">
        <f t="shared" si="17"/>
        <v>107.71825877450023</v>
      </c>
      <c r="O18" s="303">
        <f>Мор!C9</f>
        <v>1.64</v>
      </c>
      <c r="P18" s="451">
        <f>Мор!D9</f>
        <v>1.1867799999999999</v>
      </c>
      <c r="Q18" s="303">
        <f t="shared" si="18"/>
        <v>72.364634146341473</v>
      </c>
      <c r="R18" s="303">
        <f>Мор!C10</f>
        <v>256.5</v>
      </c>
      <c r="S18" s="303">
        <f>Мор!D10</f>
        <v>222.26683</v>
      </c>
      <c r="T18" s="303">
        <f t="shared" si="19"/>
        <v>86.653734892787526</v>
      </c>
      <c r="U18" s="303">
        <f>Мор!C11</f>
        <v>0</v>
      </c>
      <c r="V18" s="489">
        <f>Мор!D11</f>
        <v>-29.796009999999999</v>
      </c>
      <c r="W18" s="303" t="e">
        <f t="shared" si="20"/>
        <v>#DIV/0!</v>
      </c>
      <c r="X18" s="302">
        <f>Мор!C13</f>
        <v>75</v>
      </c>
      <c r="Y18" s="302">
        <f>Мор!D13</f>
        <v>68.146810000000002</v>
      </c>
      <c r="Z18" s="303">
        <f t="shared" si="21"/>
        <v>90.862413333333336</v>
      </c>
      <c r="AA18" s="302">
        <f>Мор!C15</f>
        <v>980</v>
      </c>
      <c r="AB18" s="299">
        <f>Мор!D15</f>
        <v>791.93519000000003</v>
      </c>
      <c r="AC18" s="303">
        <f t="shared" si="22"/>
        <v>80.809713265306129</v>
      </c>
      <c r="AD18" s="302">
        <f>Мор!C16</f>
        <v>1499</v>
      </c>
      <c r="AE18" s="302">
        <f>Мор!D16</f>
        <v>1427.41229</v>
      </c>
      <c r="AF18" s="303">
        <f t="shared" si="5"/>
        <v>95.224302201467651</v>
      </c>
      <c r="AG18" s="303">
        <f>Мор!C18</f>
        <v>0</v>
      </c>
      <c r="AH18" s="303">
        <f>Мор!D18</f>
        <v>0</v>
      </c>
      <c r="AI18" s="303" t="e">
        <f t="shared" si="23"/>
        <v>#DIV/0!</v>
      </c>
      <c r="AJ18" s="303">
        <f>Мор!C22</f>
        <v>0</v>
      </c>
      <c r="AK18" s="303">
        <f>Мор!D22</f>
        <v>0</v>
      </c>
      <c r="AL18" s="303" t="e">
        <f t="shared" si="6"/>
        <v>#DIV/0!</v>
      </c>
      <c r="AM18" s="302">
        <v>0</v>
      </c>
      <c r="AN18" s="302"/>
      <c r="AO18" s="303" t="e">
        <f t="shared" si="7"/>
        <v>#DIV/0!</v>
      </c>
      <c r="AP18" s="302">
        <f>Мор!C27</f>
        <v>0</v>
      </c>
      <c r="AQ18" s="309">
        <f>Мор!D27</f>
        <v>0</v>
      </c>
      <c r="AR18" s="303" t="e">
        <f t="shared" si="24"/>
        <v>#DIV/0!</v>
      </c>
      <c r="AS18" s="302">
        <f>Мор!C28</f>
        <v>0</v>
      </c>
      <c r="AT18" s="299">
        <f>Мор!D28</f>
        <v>0</v>
      </c>
      <c r="AU18" s="303" t="e">
        <f t="shared" si="25"/>
        <v>#DIV/0!</v>
      </c>
      <c r="AV18" s="302"/>
      <c r="AW18" s="302"/>
      <c r="AX18" s="303" t="e">
        <f t="shared" si="26"/>
        <v>#DIV/0!</v>
      </c>
      <c r="AY18" s="303">
        <f>Мор!C29</f>
        <v>0</v>
      </c>
      <c r="AZ18" s="303">
        <f>Мор!D29</f>
        <v>0</v>
      </c>
      <c r="BA18" s="303" t="e">
        <f t="shared" si="27"/>
        <v>#DIV/0!</v>
      </c>
      <c r="BB18" s="303"/>
      <c r="BC18" s="303"/>
      <c r="BD18" s="303"/>
      <c r="BE18" s="303">
        <f>Мор!C33</f>
        <v>0</v>
      </c>
      <c r="BF18" s="492">
        <f>Мор!D31</f>
        <v>14.04</v>
      </c>
      <c r="BG18" s="303" t="e">
        <f>Мор!E33</f>
        <v>#DIV/0!</v>
      </c>
      <c r="BH18" s="303">
        <f>Мор!F33</f>
        <v>0</v>
      </c>
      <c r="BI18" s="303">
        <f>Мор!G33</f>
        <v>0</v>
      </c>
      <c r="BJ18" s="303">
        <f>Мор!H33</f>
        <v>0</v>
      </c>
      <c r="BK18" s="303">
        <f>Мор!I33</f>
        <v>0</v>
      </c>
      <c r="BL18" s="303">
        <f>Мор!J33</f>
        <v>0</v>
      </c>
      <c r="BM18" s="303">
        <f>Мор!K33</f>
        <v>0</v>
      </c>
      <c r="BN18" s="303">
        <f>Мор!C34</f>
        <v>0</v>
      </c>
      <c r="BO18" s="303">
        <f>Мор!D34</f>
        <v>42.6462</v>
      </c>
      <c r="BP18" s="293" t="e">
        <f t="shared" si="30"/>
        <v>#DIV/0!</v>
      </c>
      <c r="BQ18" s="303">
        <f>Мор!C37</f>
        <v>0</v>
      </c>
      <c r="BR18" s="460">
        <f>Мор!D37</f>
        <v>0</v>
      </c>
      <c r="BS18" s="303" t="e">
        <f t="shared" si="31"/>
        <v>#DIV/0!</v>
      </c>
      <c r="BT18" s="303"/>
      <c r="BU18" s="303"/>
      <c r="BV18" s="320" t="e">
        <f t="shared" si="32"/>
        <v>#DIV/0!</v>
      </c>
      <c r="BW18" s="320"/>
      <c r="BX18" s="320"/>
      <c r="BY18" s="320" t="e">
        <f t="shared" si="33"/>
        <v>#DIV/0!</v>
      </c>
      <c r="BZ18" s="302">
        <f t="shared" si="34"/>
        <v>21511.868399999999</v>
      </c>
      <c r="CA18" s="298">
        <f t="shared" si="35"/>
        <v>9862.2572199999995</v>
      </c>
      <c r="CB18" s="303">
        <f t="shared" ref="CB18:CB31" si="54">CA18/BZ18*100</f>
        <v>45.84565615881138</v>
      </c>
      <c r="CC18" s="303">
        <f>Мор!C42</f>
        <v>5155.8</v>
      </c>
      <c r="CD18" s="303">
        <f>Мор!D42</f>
        <v>4726.0730000000003</v>
      </c>
      <c r="CE18" s="303">
        <f t="shared" si="36"/>
        <v>91.665173202994694</v>
      </c>
      <c r="CF18" s="303">
        <f>Мор!C43</f>
        <v>0</v>
      </c>
      <c r="CG18" s="303">
        <f>Мор!D43</f>
        <v>0</v>
      </c>
      <c r="CH18" s="303" t="e">
        <f t="shared" si="37"/>
        <v>#DIV/0!</v>
      </c>
      <c r="CI18" s="303">
        <f>Мор!C44</f>
        <v>14954.026459999999</v>
      </c>
      <c r="CJ18" s="303">
        <f>Мор!D44</f>
        <v>4162.2427399999997</v>
      </c>
      <c r="CK18" s="303">
        <f t="shared" si="8"/>
        <v>27.833592184241731</v>
      </c>
      <c r="CL18" s="303">
        <f>Мор!C46</f>
        <v>69</v>
      </c>
      <c r="CM18" s="303">
        <f>Мор!D46</f>
        <v>0</v>
      </c>
      <c r="CN18" s="303">
        <f t="shared" si="9"/>
        <v>0</v>
      </c>
      <c r="CO18" s="472">
        <f>Мор!C47</f>
        <v>800.00028999999995</v>
      </c>
      <c r="CP18" s="303">
        <f>Мор!D47</f>
        <v>500</v>
      </c>
      <c r="CQ18" s="293">
        <f t="shared" si="38"/>
        <v>62.499977343758218</v>
      </c>
      <c r="CR18" s="319">
        <f>Мор!C49</f>
        <v>533.04165</v>
      </c>
      <c r="CS18" s="303">
        <f>Мор!D49</f>
        <v>473.94148000000001</v>
      </c>
      <c r="CT18" s="303">
        <f t="shared" si="10"/>
        <v>88.912654386388013</v>
      </c>
      <c r="CU18" s="303"/>
      <c r="CV18" s="303"/>
      <c r="CW18" s="303"/>
      <c r="CX18" s="302"/>
      <c r="CY18" s="302"/>
      <c r="CZ18" s="303" t="e">
        <f t="shared" si="39"/>
        <v>#DIV/0!</v>
      </c>
      <c r="DA18" s="303"/>
      <c r="DB18" s="303"/>
      <c r="DC18" s="303"/>
      <c r="DD18" s="303"/>
      <c r="DE18" s="303"/>
      <c r="DF18" s="303"/>
      <c r="DG18" s="302">
        <f t="shared" si="40"/>
        <v>26506.93694</v>
      </c>
      <c r="DH18" s="302">
        <f t="shared" si="40"/>
        <v>13372.534149999999</v>
      </c>
      <c r="DI18" s="303">
        <f t="shared" si="41"/>
        <v>50.449186868590331</v>
      </c>
      <c r="DJ18" s="302">
        <f t="shared" si="42"/>
        <v>2131.0649999999996</v>
      </c>
      <c r="DK18" s="302">
        <f t="shared" si="42"/>
        <v>1925.32752</v>
      </c>
      <c r="DL18" s="303">
        <f t="shared" si="43"/>
        <v>90.345790485039188</v>
      </c>
      <c r="DM18" s="303">
        <f>Мор!C59</f>
        <v>1909.2</v>
      </c>
      <c r="DN18" s="303">
        <f>Мор!D59</f>
        <v>1767.5275200000001</v>
      </c>
      <c r="DO18" s="303">
        <f t="shared" si="44"/>
        <v>92.579484600879951</v>
      </c>
      <c r="DP18" s="303">
        <f>Мор!C62</f>
        <v>90</v>
      </c>
      <c r="DQ18" s="303">
        <f>Мор!D62</f>
        <v>90</v>
      </c>
      <c r="DR18" s="303">
        <f t="shared" si="45"/>
        <v>100</v>
      </c>
      <c r="DS18" s="303">
        <f>Мор!C63</f>
        <v>55</v>
      </c>
      <c r="DT18" s="303">
        <f>Мор!D63</f>
        <v>0</v>
      </c>
      <c r="DU18" s="303">
        <f t="shared" si="46"/>
        <v>0</v>
      </c>
      <c r="DV18" s="303">
        <f>Мор!C64</f>
        <v>76.864999999999995</v>
      </c>
      <c r="DW18" s="303">
        <f>Мор!D64</f>
        <v>67.8</v>
      </c>
      <c r="DX18" s="303">
        <f t="shared" si="47"/>
        <v>88.206595979964874</v>
      </c>
      <c r="DY18" s="303">
        <f>Мор!C65</f>
        <v>0</v>
      </c>
      <c r="DZ18" s="303">
        <f>Мор!D65</f>
        <v>0</v>
      </c>
      <c r="EA18" s="303" t="e">
        <f t="shared" si="48"/>
        <v>#DIV/0!</v>
      </c>
      <c r="EB18" s="303">
        <f>Мор!C67</f>
        <v>32</v>
      </c>
      <c r="EC18" s="303">
        <f>Мор!D67</f>
        <v>7.5545999999999998</v>
      </c>
      <c r="ED18" s="303">
        <f t="shared" si="49"/>
        <v>23.608124999999998</v>
      </c>
      <c r="EE18" s="302">
        <f>Мор!C73</f>
        <v>4503.0918199999996</v>
      </c>
      <c r="EF18" s="302">
        <f>Мор!D73</f>
        <v>1640.86106</v>
      </c>
      <c r="EG18" s="303">
        <f t="shared" si="50"/>
        <v>36.43854324071944</v>
      </c>
      <c r="EH18" s="302">
        <f>Мор!C78</f>
        <v>15383.580120000001</v>
      </c>
      <c r="EI18" s="302">
        <f>Мор!D78</f>
        <v>6491.6259700000001</v>
      </c>
      <c r="EJ18" s="303">
        <f t="shared" si="51"/>
        <v>42.198408428739668</v>
      </c>
      <c r="EK18" s="302">
        <f>Мор!C82</f>
        <v>4457.2</v>
      </c>
      <c r="EL18" s="321">
        <f>Мор!D82</f>
        <v>3307.165</v>
      </c>
      <c r="EM18" s="303">
        <f t="shared" si="11"/>
        <v>74.198263483801497</v>
      </c>
      <c r="EN18" s="303">
        <f>Мор!C85</f>
        <v>0</v>
      </c>
      <c r="EO18" s="303">
        <f>Мор!D85</f>
        <v>0</v>
      </c>
      <c r="EP18" s="303" t="e">
        <f t="shared" si="12"/>
        <v>#DIV/0!</v>
      </c>
      <c r="EQ18" s="318">
        <f>Мор!C90</f>
        <v>0</v>
      </c>
      <c r="ER18" s="318">
        <f>Мор!D90</f>
        <v>0</v>
      </c>
      <c r="ES18" s="303" t="e">
        <f t="shared" si="52"/>
        <v>#DIV/0!</v>
      </c>
      <c r="ET18" s="303">
        <f>Мор!C96</f>
        <v>0</v>
      </c>
      <c r="EU18" s="303">
        <f>Мор!D96</f>
        <v>0</v>
      </c>
      <c r="EV18" s="303" t="e">
        <f t="shared" si="53"/>
        <v>#DIV/0!</v>
      </c>
      <c r="EW18" s="322">
        <f t="shared" si="13"/>
        <v>-112.35854000000108</v>
      </c>
      <c r="EX18" s="322">
        <f t="shared" si="14"/>
        <v>911.56548999999904</v>
      </c>
      <c r="EY18" s="303">
        <f t="shared" ref="EY18:EY30" si="55">EX18/EW18*100</f>
        <v>-811.30058293743423</v>
      </c>
      <c r="EZ18" s="172"/>
      <c r="FA18" s="173"/>
      <c r="FC18" s="173"/>
    </row>
    <row r="19" spans="1:170" s="252" customFormat="1" ht="27.75" customHeight="1">
      <c r="A19" s="340">
        <v>6</v>
      </c>
      <c r="B19" s="337" t="s">
        <v>294</v>
      </c>
      <c r="C19" s="314">
        <f t="shared" si="0"/>
        <v>16967.143329999999</v>
      </c>
      <c r="D19" s="292">
        <f t="shared" si="1"/>
        <v>10926.387119999999</v>
      </c>
      <c r="E19" s="300">
        <f t="shared" si="2"/>
        <v>64.397329046432944</v>
      </c>
      <c r="F19" s="294">
        <f t="shared" si="3"/>
        <v>5018.6900000000005</v>
      </c>
      <c r="G19" s="313">
        <f t="shared" si="4"/>
        <v>4614.9331200000006</v>
      </c>
      <c r="H19" s="300">
        <f t="shared" si="15"/>
        <v>91.954934853517557</v>
      </c>
      <c r="I19" s="308">
        <f>Мос!C6</f>
        <v>1607.1</v>
      </c>
      <c r="J19" s="443">
        <f>Мос!D6</f>
        <v>1476.2249200000001</v>
      </c>
      <c r="K19" s="300">
        <f t="shared" si="16"/>
        <v>91.856444527409636</v>
      </c>
      <c r="L19" s="300">
        <f>Мос!C8</f>
        <v>288.18</v>
      </c>
      <c r="M19" s="300">
        <f>Мос!D8</f>
        <v>310.42336999999998</v>
      </c>
      <c r="N19" s="300">
        <f t="shared" si="17"/>
        <v>107.71856825595114</v>
      </c>
      <c r="O19" s="300">
        <f>Мос!C9</f>
        <v>3.09</v>
      </c>
      <c r="P19" s="452">
        <f>Мос!D9</f>
        <v>2.2270599999999998</v>
      </c>
      <c r="Q19" s="300">
        <f t="shared" si="18"/>
        <v>72.073139158576055</v>
      </c>
      <c r="R19" s="300">
        <f>Мос!C10</f>
        <v>481.32</v>
      </c>
      <c r="S19" s="300">
        <f>Мос!D10</f>
        <v>417.09325000000001</v>
      </c>
      <c r="T19" s="300">
        <f t="shared" si="19"/>
        <v>86.65612274578244</v>
      </c>
      <c r="U19" s="300">
        <f>Мос!C11</f>
        <v>0</v>
      </c>
      <c r="V19" s="490">
        <f>Мос!D11</f>
        <v>-55.913499999999999</v>
      </c>
      <c r="W19" s="300" t="e">
        <f t="shared" si="20"/>
        <v>#DIV/0!</v>
      </c>
      <c r="X19" s="308">
        <f>Мос!C13</f>
        <v>30</v>
      </c>
      <c r="Y19" s="308">
        <f>Мос!D13</f>
        <v>20.815799999999999</v>
      </c>
      <c r="Z19" s="300">
        <f t="shared" si="21"/>
        <v>69.38600000000001</v>
      </c>
      <c r="AA19" s="308">
        <f>Мос!C15</f>
        <v>450</v>
      </c>
      <c r="AB19" s="299">
        <f>Мос!D15</f>
        <v>550.24485000000004</v>
      </c>
      <c r="AC19" s="300">
        <f t="shared" si="22"/>
        <v>122.27663333333334</v>
      </c>
      <c r="AD19" s="308">
        <f>Мос!C16</f>
        <v>2151</v>
      </c>
      <c r="AE19" s="308">
        <f>Мос!D16</f>
        <v>1858.6474700000001</v>
      </c>
      <c r="AF19" s="300">
        <f t="shared" si="5"/>
        <v>86.408529521152957</v>
      </c>
      <c r="AG19" s="300">
        <f>Мос!C18</f>
        <v>8</v>
      </c>
      <c r="AH19" s="300">
        <f>Мос!D18</f>
        <v>1.6</v>
      </c>
      <c r="AI19" s="300">
        <f t="shared" si="23"/>
        <v>20</v>
      </c>
      <c r="AJ19" s="300"/>
      <c r="AK19" s="300"/>
      <c r="AL19" s="300" t="e">
        <f t="shared" si="6"/>
        <v>#DIV/0!</v>
      </c>
      <c r="AM19" s="308">
        <f>Мос!C27</f>
        <v>0</v>
      </c>
      <c r="AN19" s="308">
        <v>0</v>
      </c>
      <c r="AO19" s="300" t="e">
        <f t="shared" si="7"/>
        <v>#DIV/0!</v>
      </c>
      <c r="AP19" s="308">
        <v>0</v>
      </c>
      <c r="AQ19" s="309">
        <f>Мос!D27</f>
        <v>1.78</v>
      </c>
      <c r="AR19" s="300" t="e">
        <f t="shared" si="24"/>
        <v>#DIV/0!</v>
      </c>
      <c r="AS19" s="308">
        <f>Мос!C26</f>
        <v>0</v>
      </c>
      <c r="AT19" s="309">
        <f>Мос!D28</f>
        <v>0</v>
      </c>
      <c r="AU19" s="300" t="e">
        <f t="shared" si="25"/>
        <v>#DIV/0!</v>
      </c>
      <c r="AV19" s="308"/>
      <c r="AW19" s="308"/>
      <c r="AX19" s="300" t="e">
        <f t="shared" si="26"/>
        <v>#DIV/0!</v>
      </c>
      <c r="AY19" s="300">
        <f>Мос!C30</f>
        <v>0</v>
      </c>
      <c r="AZ19" s="303">
        <f>Мос!D30</f>
        <v>0.42215999999999998</v>
      </c>
      <c r="BA19" s="300" t="e">
        <f t="shared" si="27"/>
        <v>#DIV/0!</v>
      </c>
      <c r="BB19" s="300"/>
      <c r="BC19" s="300"/>
      <c r="BD19" s="300"/>
      <c r="BE19" s="300">
        <f>Мос!C33</f>
        <v>0</v>
      </c>
      <c r="BF19" s="491">
        <f>Мос!D33</f>
        <v>0</v>
      </c>
      <c r="BG19" s="300" t="e">
        <f t="shared" si="28"/>
        <v>#DIV/0!</v>
      </c>
      <c r="BH19" s="300"/>
      <c r="BI19" s="300"/>
      <c r="BJ19" s="300" t="e">
        <f t="shared" si="29"/>
        <v>#DIV/0!</v>
      </c>
      <c r="BK19" s="300"/>
      <c r="BL19" s="300"/>
      <c r="BM19" s="300"/>
      <c r="BN19" s="300">
        <f>Мос!C34</f>
        <v>0</v>
      </c>
      <c r="BO19" s="300">
        <f>Мос!D34</f>
        <v>33.147739999999999</v>
      </c>
      <c r="BP19" s="293" t="e">
        <f t="shared" si="30"/>
        <v>#DIV/0!</v>
      </c>
      <c r="BQ19" s="300">
        <f>Мос!C37</f>
        <v>0</v>
      </c>
      <c r="BR19" s="459">
        <f>Мос!D37</f>
        <v>-1.78</v>
      </c>
      <c r="BS19" s="300" t="e">
        <f t="shared" si="31"/>
        <v>#DIV/0!</v>
      </c>
      <c r="BT19" s="300"/>
      <c r="BU19" s="300"/>
      <c r="BV19" s="310" t="e">
        <f t="shared" si="32"/>
        <v>#DIV/0!</v>
      </c>
      <c r="BW19" s="310"/>
      <c r="BX19" s="310"/>
      <c r="BY19" s="310" t="e">
        <f t="shared" si="33"/>
        <v>#DIV/0!</v>
      </c>
      <c r="BZ19" s="308">
        <f t="shared" si="34"/>
        <v>11948.45333</v>
      </c>
      <c r="CA19" s="308">
        <f t="shared" si="35"/>
        <v>6311.4539999999997</v>
      </c>
      <c r="CB19" s="300">
        <f t="shared" si="54"/>
        <v>52.82235135951273</v>
      </c>
      <c r="CC19" s="300">
        <v>0</v>
      </c>
      <c r="CD19" s="300">
        <v>0</v>
      </c>
      <c r="CE19" s="300" t="e">
        <f>CD19/CC19*100</f>
        <v>#DIV/0!</v>
      </c>
      <c r="CF19" s="300">
        <f>SUM(Мос!C42)</f>
        <v>2230</v>
      </c>
      <c r="CG19" s="300">
        <v>530</v>
      </c>
      <c r="CH19" s="300">
        <f t="shared" si="37"/>
        <v>23.766816143497756</v>
      </c>
      <c r="CI19" s="300">
        <f>Мос!C44</f>
        <v>5827.6904500000001</v>
      </c>
      <c r="CJ19" s="300">
        <f>Мос!D44</f>
        <v>3108.2139999999999</v>
      </c>
      <c r="CK19" s="300">
        <f t="shared" si="8"/>
        <v>53.335262513814541</v>
      </c>
      <c r="CL19" s="300">
        <f>Мос!C46</f>
        <v>198.36600000000001</v>
      </c>
      <c r="CM19" s="300">
        <f>Мос!D46</f>
        <v>180.68299999999999</v>
      </c>
      <c r="CN19" s="300">
        <f t="shared" si="9"/>
        <v>91.08566992327313</v>
      </c>
      <c r="CO19" s="471">
        <f>Мос!C47</f>
        <v>2800</v>
      </c>
      <c r="CP19" s="300">
        <f>Мос!D47</f>
        <v>1600</v>
      </c>
      <c r="CQ19" s="293">
        <f t="shared" si="38"/>
        <v>57.142857142857139</v>
      </c>
      <c r="CR19" s="311">
        <v>892.39688000000001</v>
      </c>
      <c r="CS19" s="300">
        <f>Мос!D52</f>
        <v>892.55700000000002</v>
      </c>
      <c r="CT19" s="300">
        <f t="shared" si="10"/>
        <v>100.01794268935589</v>
      </c>
      <c r="CU19" s="300"/>
      <c r="CV19" s="300"/>
      <c r="CW19" s="300"/>
      <c r="CX19" s="308"/>
      <c r="CY19" s="308"/>
      <c r="CZ19" s="300" t="e">
        <f t="shared" si="39"/>
        <v>#DIV/0!</v>
      </c>
      <c r="DA19" s="300"/>
      <c r="DB19" s="300"/>
      <c r="DC19" s="300"/>
      <c r="DD19" s="300"/>
      <c r="DE19" s="300"/>
      <c r="DF19" s="300"/>
      <c r="DG19" s="302">
        <f t="shared" si="40"/>
        <v>17115.938239999999</v>
      </c>
      <c r="DH19" s="302">
        <f t="shared" si="40"/>
        <v>10586.007709999998</v>
      </c>
      <c r="DI19" s="300">
        <f t="shared" si="41"/>
        <v>61.848830964232306</v>
      </c>
      <c r="DJ19" s="308">
        <f t="shared" si="42"/>
        <v>2234.732</v>
      </c>
      <c r="DK19" s="308">
        <f t="shared" si="42"/>
        <v>1898.90227</v>
      </c>
      <c r="DL19" s="300">
        <f t="shared" si="43"/>
        <v>84.972259313421034</v>
      </c>
      <c r="DM19" s="300">
        <f>Мос!C60</f>
        <v>2193.3000000000002</v>
      </c>
      <c r="DN19" s="300">
        <f>Мос!D60</f>
        <v>1866.90227</v>
      </c>
      <c r="DO19" s="300">
        <f t="shared" si="44"/>
        <v>85.118418365020744</v>
      </c>
      <c r="DP19" s="300">
        <f>Мос!C63</f>
        <v>32</v>
      </c>
      <c r="DQ19" s="300">
        <f>Мос!D63</f>
        <v>32</v>
      </c>
      <c r="DR19" s="300">
        <f t="shared" si="45"/>
        <v>100</v>
      </c>
      <c r="DS19" s="300">
        <f>Мос!C64</f>
        <v>5</v>
      </c>
      <c r="DT19" s="300">
        <f>Мос!D64</f>
        <v>0</v>
      </c>
      <c r="DU19" s="300">
        <f t="shared" si="46"/>
        <v>0</v>
      </c>
      <c r="DV19" s="300">
        <f>Мос!C65</f>
        <v>4.4320000000000004</v>
      </c>
      <c r="DW19" s="300">
        <f>Мос!D65</f>
        <v>0</v>
      </c>
      <c r="DX19" s="300">
        <f t="shared" si="47"/>
        <v>0</v>
      </c>
      <c r="DY19" s="300">
        <f>Мос!C67</f>
        <v>198.36600000000001</v>
      </c>
      <c r="DZ19" s="300">
        <f>Мос!D67</f>
        <v>152.41871</v>
      </c>
      <c r="EA19" s="300">
        <f t="shared" si="48"/>
        <v>76.837114223203571</v>
      </c>
      <c r="EB19" s="300">
        <f>Мос!C68</f>
        <v>2.4</v>
      </c>
      <c r="EC19" s="300">
        <f>Мос!D68</f>
        <v>1.2</v>
      </c>
      <c r="ED19" s="300">
        <f t="shared" si="49"/>
        <v>50</v>
      </c>
      <c r="EE19" s="308">
        <f>Мос!C74</f>
        <v>2278.4480199999998</v>
      </c>
      <c r="EF19" s="308">
        <f>Мос!D74</f>
        <v>1815.9101499999999</v>
      </c>
      <c r="EG19" s="300">
        <f t="shared" si="50"/>
        <v>79.69943286219889</v>
      </c>
      <c r="EH19" s="308">
        <f>Мос!C79</f>
        <v>11057.99222</v>
      </c>
      <c r="EI19" s="308">
        <f>Мос!D79</f>
        <v>6501.576579999999</v>
      </c>
      <c r="EJ19" s="300">
        <f t="shared" si="51"/>
        <v>58.795271787593997</v>
      </c>
      <c r="EK19" s="308">
        <f>Мос!C84</f>
        <v>1312</v>
      </c>
      <c r="EL19" s="312">
        <f>Мос!D84</f>
        <v>201</v>
      </c>
      <c r="EM19" s="300">
        <f t="shared" si="11"/>
        <v>15.320121951219512</v>
      </c>
      <c r="EN19" s="300">
        <f>Мос!C92</f>
        <v>0</v>
      </c>
      <c r="EO19" s="300">
        <f>Мос!D92</f>
        <v>0</v>
      </c>
      <c r="EP19" s="300" t="e">
        <f t="shared" si="12"/>
        <v>#DIV/0!</v>
      </c>
      <c r="EQ19" s="313">
        <f>Мос!C94</f>
        <v>32</v>
      </c>
      <c r="ER19" s="313">
        <f>Мос!D94</f>
        <v>15</v>
      </c>
      <c r="ES19" s="300">
        <f t="shared" si="52"/>
        <v>46.875</v>
      </c>
      <c r="ET19" s="300">
        <f>Мос!C100</f>
        <v>0</v>
      </c>
      <c r="EU19" s="300">
        <f>Мос!D100</f>
        <v>0</v>
      </c>
      <c r="EV19" s="300" t="e">
        <f t="shared" si="53"/>
        <v>#DIV/0!</v>
      </c>
      <c r="EW19" s="323">
        <f t="shared" si="13"/>
        <v>-148.79491000000053</v>
      </c>
      <c r="EX19" s="323">
        <f t="shared" si="14"/>
        <v>340.37941000000137</v>
      </c>
      <c r="EY19" s="300">
        <f t="shared" si="55"/>
        <v>-228.75742859752407</v>
      </c>
      <c r="EZ19" s="250"/>
      <c r="FA19" s="251"/>
      <c r="FC19" s="251"/>
    </row>
    <row r="20" spans="1:170" s="162" customFormat="1" ht="24.75" customHeight="1">
      <c r="A20" s="335">
        <v>7</v>
      </c>
      <c r="B20" s="337" t="s">
        <v>295</v>
      </c>
      <c r="C20" s="291">
        <f t="shared" si="0"/>
        <v>20527.25157</v>
      </c>
      <c r="D20" s="292">
        <f t="shared" si="1"/>
        <v>9627.5419299999994</v>
      </c>
      <c r="E20" s="300">
        <f t="shared" si="2"/>
        <v>46.901271206079926</v>
      </c>
      <c r="F20" s="294">
        <f t="shared" si="3"/>
        <v>3262.9399999999996</v>
      </c>
      <c r="G20" s="294">
        <f t="shared" si="4"/>
        <v>2277.9936400000001</v>
      </c>
      <c r="H20" s="300">
        <f t="shared" si="15"/>
        <v>69.814144299312915</v>
      </c>
      <c r="I20" s="315">
        <f>Ори!C6</f>
        <v>187.5</v>
      </c>
      <c r="J20" s="442">
        <f>Ори!D6</f>
        <v>211.44763</v>
      </c>
      <c r="K20" s="300">
        <f t="shared" si="16"/>
        <v>112.77206933333332</v>
      </c>
      <c r="L20" s="300">
        <f>Ори!C8</f>
        <v>183.91</v>
      </c>
      <c r="M20" s="300">
        <f>Ори!D8</f>
        <v>198.09909999999999</v>
      </c>
      <c r="N20" s="293">
        <f t="shared" si="17"/>
        <v>107.71524115056278</v>
      </c>
      <c r="O20" s="293">
        <f>Ори!C9</f>
        <v>1.97</v>
      </c>
      <c r="P20" s="327">
        <f>Ори!D9</f>
        <v>1.4212400000000001</v>
      </c>
      <c r="Q20" s="293">
        <f t="shared" si="18"/>
        <v>72.144162436548228</v>
      </c>
      <c r="R20" s="293">
        <f>Ори!C10</f>
        <v>307.16000000000003</v>
      </c>
      <c r="S20" s="293">
        <f>Ори!D10</f>
        <v>266.17137000000002</v>
      </c>
      <c r="T20" s="293">
        <f t="shared" si="19"/>
        <v>86.655609454356039</v>
      </c>
      <c r="U20" s="293">
        <f>Ори!C11</f>
        <v>0</v>
      </c>
      <c r="V20" s="488">
        <f>Ори!D11</f>
        <v>-35.681669999999997</v>
      </c>
      <c r="W20" s="293" t="e">
        <f t="shared" si="20"/>
        <v>#DIV/0!</v>
      </c>
      <c r="X20" s="308">
        <f>Ори!C13</f>
        <v>30</v>
      </c>
      <c r="Y20" s="308">
        <f>Ори!D13</f>
        <v>4.1540999999999997</v>
      </c>
      <c r="Z20" s="300">
        <f t="shared" si="21"/>
        <v>13.846999999999998</v>
      </c>
      <c r="AA20" s="308">
        <f>Ори!C15</f>
        <v>290</v>
      </c>
      <c r="AB20" s="299">
        <f>Ори!D15</f>
        <v>177.47019</v>
      </c>
      <c r="AC20" s="300">
        <f t="shared" si="22"/>
        <v>61.196617241379315</v>
      </c>
      <c r="AD20" s="308">
        <f>Ори!C16</f>
        <v>1922</v>
      </c>
      <c r="AE20" s="308">
        <f>Ори!D16</f>
        <v>1133.65905</v>
      </c>
      <c r="AF20" s="300">
        <f t="shared" si="5"/>
        <v>58.98330124869927</v>
      </c>
      <c r="AG20" s="300">
        <f>Ори!C18</f>
        <v>6</v>
      </c>
      <c r="AH20" s="300">
        <f>Ори!D18</f>
        <v>7.05</v>
      </c>
      <c r="AI20" s="300">
        <f t="shared" si="23"/>
        <v>117.5</v>
      </c>
      <c r="AJ20" s="300"/>
      <c r="AK20" s="300"/>
      <c r="AL20" s="300" t="e">
        <f t="shared" si="6"/>
        <v>#DIV/0!</v>
      </c>
      <c r="AM20" s="308">
        <v>0</v>
      </c>
      <c r="AN20" s="308">
        <v>0</v>
      </c>
      <c r="AO20" s="300" t="e">
        <f t="shared" si="7"/>
        <v>#DIV/0!</v>
      </c>
      <c r="AP20" s="308">
        <f>Ори!C27</f>
        <v>230.4</v>
      </c>
      <c r="AQ20" s="309">
        <f>Ори!D27</f>
        <v>235.87477999999999</v>
      </c>
      <c r="AR20" s="300">
        <f t="shared" si="24"/>
        <v>102.37620659722222</v>
      </c>
      <c r="AS20" s="302">
        <f>Ори!C28</f>
        <v>54</v>
      </c>
      <c r="AT20" s="309">
        <f>Ори!D28</f>
        <v>49.5</v>
      </c>
      <c r="AU20" s="300">
        <f t="shared" si="25"/>
        <v>91.666666666666657</v>
      </c>
      <c r="AV20" s="308"/>
      <c r="AW20" s="308"/>
      <c r="AX20" s="300" t="e">
        <f t="shared" si="26"/>
        <v>#DIV/0!</v>
      </c>
      <c r="AY20" s="300">
        <f>Ори!C30</f>
        <v>50</v>
      </c>
      <c r="AZ20" s="303">
        <f>Ори!D30</f>
        <v>19.610669999999999</v>
      </c>
      <c r="BA20" s="300">
        <f t="shared" si="27"/>
        <v>39.221339999999998</v>
      </c>
      <c r="BB20" s="300"/>
      <c r="BC20" s="300"/>
      <c r="BD20" s="300"/>
      <c r="BE20" s="300">
        <f>Ори!C33</f>
        <v>0</v>
      </c>
      <c r="BF20" s="491">
        <f>Ори!D31</f>
        <v>7.68</v>
      </c>
      <c r="BG20" s="300" t="e">
        <f t="shared" si="28"/>
        <v>#DIV/0!</v>
      </c>
      <c r="BH20" s="300"/>
      <c r="BI20" s="300"/>
      <c r="BJ20" s="300" t="e">
        <f t="shared" si="29"/>
        <v>#DIV/0!</v>
      </c>
      <c r="BK20" s="300"/>
      <c r="BL20" s="300"/>
      <c r="BM20" s="300"/>
      <c r="BN20" s="300">
        <f>Ори!C35</f>
        <v>0</v>
      </c>
      <c r="BO20" s="300">
        <f>Ори!D34</f>
        <v>1.53718</v>
      </c>
      <c r="BP20" s="293" t="e">
        <f t="shared" si="30"/>
        <v>#DIV/0!</v>
      </c>
      <c r="BQ20" s="300">
        <f>Ори!C36</f>
        <v>0</v>
      </c>
      <c r="BR20" s="459">
        <f>Ори!D36</f>
        <v>0</v>
      </c>
      <c r="BS20" s="300" t="e">
        <f t="shared" si="31"/>
        <v>#DIV/0!</v>
      </c>
      <c r="BT20" s="300"/>
      <c r="BU20" s="300"/>
      <c r="BV20" s="310" t="e">
        <f t="shared" si="32"/>
        <v>#DIV/0!</v>
      </c>
      <c r="BW20" s="310"/>
      <c r="BX20" s="310"/>
      <c r="BY20" s="310" t="e">
        <f t="shared" si="33"/>
        <v>#DIV/0!</v>
      </c>
      <c r="BZ20" s="298">
        <f t="shared" si="34"/>
        <v>17264.311570000002</v>
      </c>
      <c r="CA20" s="298">
        <f t="shared" si="35"/>
        <v>7349.5482899999997</v>
      </c>
      <c r="CB20" s="300">
        <f t="shared" si="54"/>
        <v>42.570757948849966</v>
      </c>
      <c r="CC20" s="300">
        <f>Ори!C41</f>
        <v>1597</v>
      </c>
      <c r="CD20" s="300">
        <f>Ори!D41</f>
        <v>1463.8910000000001</v>
      </c>
      <c r="CE20" s="300">
        <f t="shared" si="36"/>
        <v>91.66505948653726</v>
      </c>
      <c r="CF20" s="300">
        <f>Ори!C42</f>
        <v>568</v>
      </c>
      <c r="CG20" s="300">
        <f>Ори!D42</f>
        <v>603</v>
      </c>
      <c r="CH20" s="300">
        <f t="shared" si="37"/>
        <v>106.16197183098592</v>
      </c>
      <c r="CI20" s="300">
        <f>Ори!C43</f>
        <v>12527.42121</v>
      </c>
      <c r="CJ20" s="300">
        <f>Ори!D43</f>
        <v>3249.9247999999998</v>
      </c>
      <c r="CK20" s="300">
        <f t="shared" si="8"/>
        <v>25.942488446111728</v>
      </c>
      <c r="CL20" s="300">
        <f>Ори!C45</f>
        <v>198.36600000000001</v>
      </c>
      <c r="CM20" s="300">
        <f>Ори!D45</f>
        <v>180.68299999999999</v>
      </c>
      <c r="CN20" s="300">
        <f t="shared" si="9"/>
        <v>91.08566992327313</v>
      </c>
      <c r="CO20" s="471">
        <f>Ори!C46</f>
        <v>2019.83087</v>
      </c>
      <c r="CP20" s="300">
        <f>Ори!D46</f>
        <v>1498.356</v>
      </c>
      <c r="CQ20" s="293">
        <f t="shared" si="38"/>
        <v>74.182250714882883</v>
      </c>
      <c r="CR20" s="311">
        <f>Ори!C47</f>
        <v>353.69349</v>
      </c>
      <c r="CS20" s="300">
        <f>Ори!D47</f>
        <v>353.69349</v>
      </c>
      <c r="CT20" s="300">
        <f t="shared" si="10"/>
        <v>100</v>
      </c>
      <c r="CU20" s="300"/>
      <c r="CV20" s="300"/>
      <c r="CW20" s="300"/>
      <c r="CX20" s="308"/>
      <c r="CY20" s="308"/>
      <c r="CZ20" s="300" t="e">
        <f t="shared" si="39"/>
        <v>#DIV/0!</v>
      </c>
      <c r="DA20" s="300"/>
      <c r="DB20" s="300"/>
      <c r="DC20" s="300"/>
      <c r="DD20" s="300"/>
      <c r="DE20" s="300"/>
      <c r="DF20" s="300"/>
      <c r="DG20" s="302">
        <f t="shared" si="40"/>
        <v>20299.998189999998</v>
      </c>
      <c r="DH20" s="302">
        <f t="shared" si="40"/>
        <v>9146.9503399999994</v>
      </c>
      <c r="DI20" s="300">
        <f t="shared" si="41"/>
        <v>45.058872687515247</v>
      </c>
      <c r="DJ20" s="308">
        <f t="shared" si="42"/>
        <v>1516.9949999999999</v>
      </c>
      <c r="DK20" s="308">
        <f t="shared" si="42"/>
        <v>1284.7886800000001</v>
      </c>
      <c r="DL20" s="300">
        <f t="shared" si="43"/>
        <v>84.693006898506596</v>
      </c>
      <c r="DM20" s="300">
        <f>Ори!C58</f>
        <v>1441</v>
      </c>
      <c r="DN20" s="300">
        <f>Ори!D58</f>
        <v>1216.7886800000001</v>
      </c>
      <c r="DO20" s="300">
        <f t="shared" si="44"/>
        <v>84.440574600971559</v>
      </c>
      <c r="DP20" s="300">
        <f>Ори!C61</f>
        <v>42</v>
      </c>
      <c r="DQ20" s="300">
        <f>Ори!D61</f>
        <v>42</v>
      </c>
      <c r="DR20" s="300">
        <f t="shared" si="45"/>
        <v>100</v>
      </c>
      <c r="DS20" s="300">
        <f>Ори!C62</f>
        <v>5</v>
      </c>
      <c r="DT20" s="300">
        <f>Ори!D62</f>
        <v>0</v>
      </c>
      <c r="DU20" s="300">
        <f t="shared" si="46"/>
        <v>0</v>
      </c>
      <c r="DV20" s="300">
        <f>Ори!C63</f>
        <v>28.995000000000001</v>
      </c>
      <c r="DW20" s="300">
        <f>Ори!D63</f>
        <v>26</v>
      </c>
      <c r="DX20" s="300">
        <f t="shared" si="47"/>
        <v>89.670632867735804</v>
      </c>
      <c r="DY20" s="300">
        <f>Ори!C65</f>
        <v>198.36600000000001</v>
      </c>
      <c r="DZ20" s="300">
        <f>Ори!D65</f>
        <v>145.63767000000001</v>
      </c>
      <c r="EA20" s="300">
        <f t="shared" si="48"/>
        <v>73.418665497111405</v>
      </c>
      <c r="EB20" s="300">
        <f>Ори!C66</f>
        <v>10.870000000000001</v>
      </c>
      <c r="EC20" s="300">
        <f>Ори!D66</f>
        <v>10.8696</v>
      </c>
      <c r="ED20" s="300">
        <f t="shared" si="49"/>
        <v>99.996320147194112</v>
      </c>
      <c r="EE20" s="308">
        <f>Ори!C72</f>
        <v>2673.1260299999999</v>
      </c>
      <c r="EF20" s="308">
        <f>Ори!D72</f>
        <v>2388.9096799999998</v>
      </c>
      <c r="EG20" s="300">
        <f t="shared" si="50"/>
        <v>89.367641225655191</v>
      </c>
      <c r="EH20" s="308">
        <f>Ори!C77</f>
        <v>12876.756170000001</v>
      </c>
      <c r="EI20" s="308">
        <f>Ори!D77</f>
        <v>2780.0860000000002</v>
      </c>
      <c r="EJ20" s="300">
        <f t="shared" si="51"/>
        <v>21.589956067328409</v>
      </c>
      <c r="EK20" s="308">
        <f>Ори!C82</f>
        <v>3021.88499</v>
      </c>
      <c r="EL20" s="312">
        <f>Ори!D82</f>
        <v>2536.6587100000002</v>
      </c>
      <c r="EM20" s="300">
        <f t="shared" si="11"/>
        <v>83.942926960962865</v>
      </c>
      <c r="EN20" s="300">
        <f>Ори!C84</f>
        <v>0</v>
      </c>
      <c r="EO20" s="300">
        <f>Ори!D84</f>
        <v>0</v>
      </c>
      <c r="EP20" s="300" t="e">
        <f t="shared" si="12"/>
        <v>#DIV/0!</v>
      </c>
      <c r="EQ20" s="313">
        <f>Ори!C89</f>
        <v>2</v>
      </c>
      <c r="ER20" s="313">
        <f>Ори!D89</f>
        <v>0</v>
      </c>
      <c r="ES20" s="300">
        <f t="shared" si="52"/>
        <v>0</v>
      </c>
      <c r="ET20" s="300">
        <f>Ори!C95</f>
        <v>0</v>
      </c>
      <c r="EU20" s="300">
        <f>Ори!D95</f>
        <v>0</v>
      </c>
      <c r="EV20" s="293" t="e">
        <f t="shared" si="53"/>
        <v>#DIV/0!</v>
      </c>
      <c r="EW20" s="307">
        <f t="shared" si="13"/>
        <v>227.25338000000193</v>
      </c>
      <c r="EX20" s="307">
        <f t="shared" si="14"/>
        <v>480.59159</v>
      </c>
      <c r="EY20" s="293">
        <f t="shared" si="55"/>
        <v>211.47830232491853</v>
      </c>
      <c r="EZ20" s="164"/>
      <c r="FA20" s="165"/>
      <c r="FC20" s="165"/>
      <c r="FF20" s="167"/>
      <c r="FG20" s="167"/>
      <c r="FH20" s="167"/>
      <c r="FI20" s="167"/>
      <c r="FJ20" s="167"/>
      <c r="FK20" s="167"/>
      <c r="FL20" s="167"/>
      <c r="FM20" s="167"/>
      <c r="FN20" s="167"/>
    </row>
    <row r="21" spans="1:170" s="162" customFormat="1" ht="24.75" customHeight="1">
      <c r="A21" s="335">
        <v>8</v>
      </c>
      <c r="B21" s="337" t="s">
        <v>296</v>
      </c>
      <c r="C21" s="291">
        <f t="shared" si="0"/>
        <v>15078.616959999999</v>
      </c>
      <c r="D21" s="292">
        <f t="shared" si="1"/>
        <v>8605.2775499999989</v>
      </c>
      <c r="E21" s="300">
        <f t="shared" si="2"/>
        <v>57.069408771558841</v>
      </c>
      <c r="F21" s="294">
        <f t="shared" si="3"/>
        <v>2308.6930000000002</v>
      </c>
      <c r="G21" s="294">
        <f t="shared" si="4"/>
        <v>2085.9344300000002</v>
      </c>
      <c r="H21" s="300">
        <f t="shared" si="15"/>
        <v>90.351312625801711</v>
      </c>
      <c r="I21" s="308">
        <f>Сят!C6</f>
        <v>137.6</v>
      </c>
      <c r="J21" s="443">
        <f>Сят!D6</f>
        <v>121.13994</v>
      </c>
      <c r="K21" s="300">
        <f t="shared" si="16"/>
        <v>88.037747093023256</v>
      </c>
      <c r="L21" s="300">
        <f>Сят!C8</f>
        <v>227.51</v>
      </c>
      <c r="M21" s="300">
        <f>Сят!D8</f>
        <v>245.0711</v>
      </c>
      <c r="N21" s="293">
        <f t="shared" si="17"/>
        <v>107.71882554612984</v>
      </c>
      <c r="O21" s="293">
        <f>Сят!C9</f>
        <v>2.44</v>
      </c>
      <c r="P21" s="327">
        <f>Сят!D9</f>
        <v>1.7582199999999999</v>
      </c>
      <c r="Q21" s="293">
        <f t="shared" si="18"/>
        <v>72.058196721311475</v>
      </c>
      <c r="R21" s="293">
        <f>Сят!C10</f>
        <v>379.99</v>
      </c>
      <c r="S21" s="293">
        <f>Сят!D10</f>
        <v>329.28417000000002</v>
      </c>
      <c r="T21" s="293">
        <f t="shared" si="19"/>
        <v>86.656009368667597</v>
      </c>
      <c r="U21" s="293">
        <f>Сят!C11</f>
        <v>0</v>
      </c>
      <c r="V21" s="488">
        <f>Сят!D11</f>
        <v>-44.142299999999999</v>
      </c>
      <c r="W21" s="293" t="e">
        <f t="shared" si="20"/>
        <v>#DIV/0!</v>
      </c>
      <c r="X21" s="308">
        <f>Сят!C13</f>
        <v>50</v>
      </c>
      <c r="Y21" s="308">
        <f>Сят!D13</f>
        <v>93.728849999999994</v>
      </c>
      <c r="Z21" s="300">
        <f t="shared" si="21"/>
        <v>187.45769999999999</v>
      </c>
      <c r="AA21" s="308">
        <f>Сят!C15</f>
        <v>150</v>
      </c>
      <c r="AB21" s="299">
        <f>Сят!D15</f>
        <v>154.83536000000001</v>
      </c>
      <c r="AC21" s="300">
        <f t="shared" si="22"/>
        <v>103.22357333333333</v>
      </c>
      <c r="AD21" s="308">
        <f>Сят!C16</f>
        <v>905</v>
      </c>
      <c r="AE21" s="308">
        <f>Сят!D16</f>
        <v>889.08079999999995</v>
      </c>
      <c r="AF21" s="300">
        <f t="shared" si="5"/>
        <v>98.240972375690603</v>
      </c>
      <c r="AG21" s="300">
        <f>Сят!C18</f>
        <v>4</v>
      </c>
      <c r="AH21" s="300">
        <f>Сят!D18</f>
        <v>3.5</v>
      </c>
      <c r="AI21" s="300">
        <f t="shared" si="23"/>
        <v>87.5</v>
      </c>
      <c r="AJ21" s="300">
        <f>Сят!C22</f>
        <v>0</v>
      </c>
      <c r="AK21" s="300">
        <f>Сят!D20</f>
        <v>0</v>
      </c>
      <c r="AL21" s="300" t="e">
        <f t="shared" si="6"/>
        <v>#DIV/0!</v>
      </c>
      <c r="AM21" s="308">
        <v>0</v>
      </c>
      <c r="AN21" s="308">
        <v>0</v>
      </c>
      <c r="AO21" s="300" t="e">
        <f t="shared" si="7"/>
        <v>#DIV/0!</v>
      </c>
      <c r="AP21" s="308">
        <f>Сят!C27</f>
        <v>445.45299999999997</v>
      </c>
      <c r="AQ21" s="309">
        <f>Сят!D27</f>
        <v>215.29</v>
      </c>
      <c r="AR21" s="300">
        <f t="shared" si="24"/>
        <v>48.330575840773328</v>
      </c>
      <c r="AS21" s="302">
        <f>Сят!C28</f>
        <v>6.7</v>
      </c>
      <c r="AT21" s="309">
        <f>Сят!D28</f>
        <v>6.2092799999999997</v>
      </c>
      <c r="AU21" s="300">
        <f t="shared" si="25"/>
        <v>92.675820895522378</v>
      </c>
      <c r="AV21" s="308"/>
      <c r="AW21" s="308"/>
      <c r="AX21" s="300" t="e">
        <f t="shared" si="26"/>
        <v>#DIV/0!</v>
      </c>
      <c r="AY21" s="300">
        <f>Сят!C30</f>
        <v>0</v>
      </c>
      <c r="AZ21" s="303">
        <f>Сят!D30</f>
        <v>2.9402900000000001</v>
      </c>
      <c r="BA21" s="300" t="e">
        <f t="shared" si="27"/>
        <v>#DIV/0!</v>
      </c>
      <c r="BB21" s="300"/>
      <c r="BC21" s="300"/>
      <c r="BD21" s="300"/>
      <c r="BE21" s="300">
        <f>Сят!C33</f>
        <v>0</v>
      </c>
      <c r="BF21" s="491">
        <f>Сят!D31</f>
        <v>4.1894999999999998</v>
      </c>
      <c r="BG21" s="300" t="e">
        <f t="shared" si="28"/>
        <v>#DIV/0!</v>
      </c>
      <c r="BH21" s="300"/>
      <c r="BI21" s="300"/>
      <c r="BJ21" s="300" t="e">
        <f t="shared" si="29"/>
        <v>#DIV/0!</v>
      </c>
      <c r="BK21" s="300"/>
      <c r="BL21" s="300"/>
      <c r="BM21" s="300"/>
      <c r="BN21" s="300">
        <f>Сят!C34</f>
        <v>0</v>
      </c>
      <c r="BO21" s="300">
        <f>Сят!D34</f>
        <v>63.049219999999998</v>
      </c>
      <c r="BP21" s="293" t="e">
        <f t="shared" si="30"/>
        <v>#DIV/0!</v>
      </c>
      <c r="BQ21" s="300">
        <f>Сят!C36</f>
        <v>0</v>
      </c>
      <c r="BR21" s="459">
        <f>Сят!D36</f>
        <v>0</v>
      </c>
      <c r="BS21" s="300" t="e">
        <f t="shared" si="31"/>
        <v>#DIV/0!</v>
      </c>
      <c r="BT21" s="300"/>
      <c r="BU21" s="300"/>
      <c r="BV21" s="310" t="e">
        <f t="shared" si="32"/>
        <v>#DIV/0!</v>
      </c>
      <c r="BW21" s="310"/>
      <c r="BX21" s="310"/>
      <c r="BY21" s="310" t="e">
        <f t="shared" si="33"/>
        <v>#DIV/0!</v>
      </c>
      <c r="BZ21" s="298">
        <f t="shared" si="34"/>
        <v>12769.92396</v>
      </c>
      <c r="CA21" s="298">
        <f t="shared" si="35"/>
        <v>6519.3431199999995</v>
      </c>
      <c r="CB21" s="300">
        <f t="shared" si="54"/>
        <v>51.052325295130416</v>
      </c>
      <c r="CC21" s="300">
        <f>Сят!C41</f>
        <v>3036.7</v>
      </c>
      <c r="CD21" s="300">
        <f>Сят!D41</f>
        <v>2783.5940000000001</v>
      </c>
      <c r="CE21" s="300">
        <f t="shared" si="36"/>
        <v>91.665096980274654</v>
      </c>
      <c r="CF21" s="300">
        <f>Сят!C42</f>
        <v>10</v>
      </c>
      <c r="CG21" s="300">
        <f>Сят!D42</f>
        <v>0</v>
      </c>
      <c r="CH21" s="300">
        <f t="shared" si="37"/>
        <v>0</v>
      </c>
      <c r="CI21" s="300">
        <f>Сят!C43</f>
        <v>7425.0352499999999</v>
      </c>
      <c r="CJ21" s="300">
        <f>Сят!D43</f>
        <v>1863.8348699999999</v>
      </c>
      <c r="CK21" s="300">
        <f t="shared" si="8"/>
        <v>25.102033960040792</v>
      </c>
      <c r="CL21" s="300">
        <f>Сят!C44</f>
        <v>198.36600000000001</v>
      </c>
      <c r="CM21" s="300">
        <f>Сят!D44</f>
        <v>180.68299999999999</v>
      </c>
      <c r="CN21" s="300">
        <f t="shared" si="9"/>
        <v>91.08566992327313</v>
      </c>
      <c r="CO21" s="471">
        <f>Сят!C48</f>
        <v>1639.27214</v>
      </c>
      <c r="CP21" s="300">
        <f>Сят!D48</f>
        <v>1258</v>
      </c>
      <c r="CQ21" s="293">
        <f t="shared" si="38"/>
        <v>76.741376206149639</v>
      </c>
      <c r="CR21" s="311">
        <f>Сят!C49</f>
        <v>460.55056999999999</v>
      </c>
      <c r="CS21" s="300">
        <f>Сят!D49</f>
        <v>433.23124999999999</v>
      </c>
      <c r="CT21" s="300">
        <f t="shared" si="10"/>
        <v>94.068117210233822</v>
      </c>
      <c r="CU21" s="300"/>
      <c r="CV21" s="300">
        <f>Сят!D50</f>
        <v>0</v>
      </c>
      <c r="CW21" s="300"/>
      <c r="CX21" s="308"/>
      <c r="CY21" s="308"/>
      <c r="CZ21" s="300" t="e">
        <f t="shared" si="39"/>
        <v>#DIV/0!</v>
      </c>
      <c r="DA21" s="300"/>
      <c r="DB21" s="300"/>
      <c r="DC21" s="300"/>
      <c r="DD21" s="300"/>
      <c r="DE21" s="300"/>
      <c r="DF21" s="300"/>
      <c r="DG21" s="302">
        <f t="shared" si="40"/>
        <v>16018.123469999999</v>
      </c>
      <c r="DH21" s="302">
        <f t="shared" si="40"/>
        <v>8589.9867400000003</v>
      </c>
      <c r="DI21" s="300">
        <f t="shared" si="41"/>
        <v>53.626673287217464</v>
      </c>
      <c r="DJ21" s="308">
        <f t="shared" si="42"/>
        <v>1499.001</v>
      </c>
      <c r="DK21" s="308">
        <f>Сят!D56</f>
        <v>1322.6615400000001</v>
      </c>
      <c r="DL21" s="300">
        <f t="shared" si="43"/>
        <v>88.236201310072516</v>
      </c>
      <c r="DM21" s="300">
        <f>Сят!C58</f>
        <v>1396.2</v>
      </c>
      <c r="DN21" s="300">
        <f>Сят!D58</f>
        <v>1228.3615400000001</v>
      </c>
      <c r="DO21" s="300">
        <f t="shared" si="44"/>
        <v>87.97890989829537</v>
      </c>
      <c r="DP21" s="300">
        <f>Сят!C61</f>
        <v>42</v>
      </c>
      <c r="DQ21" s="300">
        <f>Сят!D61</f>
        <v>42</v>
      </c>
      <c r="DR21" s="300">
        <f t="shared" si="45"/>
        <v>100</v>
      </c>
      <c r="DS21" s="300">
        <f>Сят!C62</f>
        <v>5</v>
      </c>
      <c r="DT21" s="300">
        <f>Сят!D62</f>
        <v>0</v>
      </c>
      <c r="DU21" s="300">
        <f t="shared" si="46"/>
        <v>0</v>
      </c>
      <c r="DV21" s="300">
        <f>Сят!C63</f>
        <v>55.801000000000002</v>
      </c>
      <c r="DW21" s="300">
        <f>Сят!D63</f>
        <v>52.3</v>
      </c>
      <c r="DX21" s="300">
        <f t="shared" si="47"/>
        <v>93.72591889034247</v>
      </c>
      <c r="DY21" s="300">
        <f>Сят!C65</f>
        <v>198.36600000000001</v>
      </c>
      <c r="DZ21" s="300">
        <f>Сят!D65</f>
        <v>141.1463</v>
      </c>
      <c r="EA21" s="300">
        <f t="shared" si="48"/>
        <v>71.154482118911503</v>
      </c>
      <c r="EB21" s="300">
        <f>Сят!C66</f>
        <v>7</v>
      </c>
      <c r="EC21" s="300">
        <f>Сят!D66</f>
        <v>5.7846000000000002</v>
      </c>
      <c r="ED21" s="300">
        <f t="shared" si="49"/>
        <v>82.637142857142862</v>
      </c>
      <c r="EE21" s="308">
        <f>Сят!C72</f>
        <v>6976.7027099999996</v>
      </c>
      <c r="EF21" s="308">
        <f>Сят!D72</f>
        <v>3217.11454</v>
      </c>
      <c r="EG21" s="300">
        <f t="shared" si="50"/>
        <v>46.112249206043643</v>
      </c>
      <c r="EH21" s="308">
        <f>Сят!C77</f>
        <v>5197.7537599999996</v>
      </c>
      <c r="EI21" s="308">
        <f>Сят!D77</f>
        <v>2220.0241000000001</v>
      </c>
      <c r="EJ21" s="300">
        <f t="shared" si="51"/>
        <v>42.711221087164397</v>
      </c>
      <c r="EK21" s="308">
        <f>Сят!C81</f>
        <v>2137.3000000000002</v>
      </c>
      <c r="EL21" s="312">
        <f>Сят!D81</f>
        <v>1682.2886599999999</v>
      </c>
      <c r="EM21" s="300">
        <f t="shared" si="11"/>
        <v>78.710927806110504</v>
      </c>
      <c r="EN21" s="300">
        <f>Сят!C83</f>
        <v>0</v>
      </c>
      <c r="EO21" s="300">
        <f>Сят!D83</f>
        <v>0</v>
      </c>
      <c r="EP21" s="300" t="e">
        <f t="shared" si="12"/>
        <v>#DIV/0!</v>
      </c>
      <c r="EQ21" s="313">
        <f>Сят!C88</f>
        <v>2</v>
      </c>
      <c r="ER21" s="313">
        <f>Сят!D88</f>
        <v>0.96699999999999997</v>
      </c>
      <c r="ES21" s="300">
        <f t="shared" si="52"/>
        <v>48.35</v>
      </c>
      <c r="ET21" s="300">
        <f>Сят!C94</f>
        <v>0</v>
      </c>
      <c r="EU21" s="300">
        <f>Сят!D94</f>
        <v>0</v>
      </c>
      <c r="EV21" s="293" t="e">
        <f t="shared" si="53"/>
        <v>#DIV/0!</v>
      </c>
      <c r="EW21" s="307">
        <f t="shared" si="13"/>
        <v>-939.50650999999925</v>
      </c>
      <c r="EX21" s="307">
        <f t="shared" si="14"/>
        <v>15.290809999998601</v>
      </c>
      <c r="EY21" s="293">
        <f t="shared" si="55"/>
        <v>-1.6275363541651897</v>
      </c>
      <c r="EZ21" s="164"/>
      <c r="FA21" s="165"/>
      <c r="FB21" s="167"/>
      <c r="FC21" s="165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</row>
    <row r="22" spans="1:170" s="174" customFormat="1" ht="22.5" customHeight="1">
      <c r="A22" s="338">
        <v>9</v>
      </c>
      <c r="B22" s="339" t="s">
        <v>297</v>
      </c>
      <c r="C22" s="316">
        <f t="shared" si="0"/>
        <v>8487.6176100000012</v>
      </c>
      <c r="D22" s="317">
        <f t="shared" si="1"/>
        <v>6966.5561699999998</v>
      </c>
      <c r="E22" s="303">
        <f t="shared" si="2"/>
        <v>82.079053158475162</v>
      </c>
      <c r="F22" s="294">
        <f t="shared" si="3"/>
        <v>2359</v>
      </c>
      <c r="G22" s="318">
        <f t="shared" si="4"/>
        <v>2215.93217</v>
      </c>
      <c r="H22" s="303">
        <f t="shared" si="15"/>
        <v>93.93523399745655</v>
      </c>
      <c r="I22" s="302">
        <f>Тор!C6</f>
        <v>117.6</v>
      </c>
      <c r="J22" s="443">
        <f>Тор!D6</f>
        <v>107.51326</v>
      </c>
      <c r="K22" s="303">
        <f t="shared" si="16"/>
        <v>91.422840136054432</v>
      </c>
      <c r="L22" s="303">
        <f>Тор!C8</f>
        <v>315.67</v>
      </c>
      <c r="M22" s="303">
        <f>Тор!D8</f>
        <v>340.03616</v>
      </c>
      <c r="N22" s="303">
        <f t="shared" si="17"/>
        <v>107.71887097285141</v>
      </c>
      <c r="O22" s="303">
        <f>Тор!C9</f>
        <v>3.39</v>
      </c>
      <c r="P22" s="451">
        <f>Тор!D9</f>
        <v>2.4395199999999999</v>
      </c>
      <c r="Q22" s="303">
        <f t="shared" si="18"/>
        <v>71.962241887905591</v>
      </c>
      <c r="R22" s="303">
        <f>Тор!C10</f>
        <v>527.24</v>
      </c>
      <c r="S22" s="303">
        <f>Тор!D10</f>
        <v>456.8818</v>
      </c>
      <c r="T22" s="303">
        <f t="shared" si="19"/>
        <v>86.655375161216895</v>
      </c>
      <c r="U22" s="303">
        <f>Тор!C11</f>
        <v>0</v>
      </c>
      <c r="V22" s="489">
        <f>Тор!D11</f>
        <v>-61.247430000000001</v>
      </c>
      <c r="W22" s="303" t="e">
        <f t="shared" si="20"/>
        <v>#DIV/0!</v>
      </c>
      <c r="X22" s="302">
        <f>Тор!C13</f>
        <v>30</v>
      </c>
      <c r="Y22" s="302">
        <f>Тор!D13</f>
        <v>33.21</v>
      </c>
      <c r="Z22" s="303">
        <f t="shared" si="21"/>
        <v>110.7</v>
      </c>
      <c r="AA22" s="302">
        <f>Тор!C15</f>
        <v>250</v>
      </c>
      <c r="AB22" s="299">
        <f>Тор!D15</f>
        <v>70.564390000000003</v>
      </c>
      <c r="AC22" s="303">
        <f t="shared" si="22"/>
        <v>28.225756000000001</v>
      </c>
      <c r="AD22" s="302">
        <f>Тор!C16</f>
        <v>388</v>
      </c>
      <c r="AE22" s="302">
        <f>Тор!D16</f>
        <v>349.99083000000002</v>
      </c>
      <c r="AF22" s="303">
        <f t="shared" si="5"/>
        <v>90.203822164948448</v>
      </c>
      <c r="AG22" s="303">
        <f>Тор!C18</f>
        <v>8</v>
      </c>
      <c r="AH22" s="303">
        <f>Тор!D18</f>
        <v>5.2</v>
      </c>
      <c r="AI22" s="303">
        <f t="shared" si="23"/>
        <v>65</v>
      </c>
      <c r="AJ22" s="303"/>
      <c r="AK22" s="303">
        <f>Тор!D20</f>
        <v>0</v>
      </c>
      <c r="AL22" s="303" t="e">
        <f t="shared" si="6"/>
        <v>#DIV/0!</v>
      </c>
      <c r="AM22" s="302">
        <v>0</v>
      </c>
      <c r="AN22" s="302">
        <v>0</v>
      </c>
      <c r="AO22" s="303" t="e">
        <f t="shared" si="7"/>
        <v>#DIV/0!</v>
      </c>
      <c r="AP22" s="302">
        <f>Тор!C27</f>
        <v>592.1</v>
      </c>
      <c r="AQ22" s="299">
        <f>Тор!D27</f>
        <v>767.15481999999997</v>
      </c>
      <c r="AR22" s="303">
        <f t="shared" si="24"/>
        <v>129.56507684512749</v>
      </c>
      <c r="AS22" s="302">
        <f>Тор!C28</f>
        <v>77</v>
      </c>
      <c r="AT22" s="299">
        <f>Тор!D28</f>
        <v>58.86598</v>
      </c>
      <c r="AU22" s="303">
        <f t="shared" si="25"/>
        <v>76.449324675324675</v>
      </c>
      <c r="AV22" s="302"/>
      <c r="AW22" s="302"/>
      <c r="AX22" s="303" t="e">
        <f t="shared" si="26"/>
        <v>#DIV/0!</v>
      </c>
      <c r="AY22" s="303">
        <f>Тор!C29</f>
        <v>50</v>
      </c>
      <c r="AZ22" s="303">
        <f>Тор!D29</f>
        <v>38.752090000000003</v>
      </c>
      <c r="BA22" s="303">
        <f t="shared" si="27"/>
        <v>77.504180000000005</v>
      </c>
      <c r="BB22" s="303"/>
      <c r="BC22" s="303"/>
      <c r="BD22" s="303"/>
      <c r="BE22" s="303">
        <f>Тор!C34+Тор!C33</f>
        <v>0</v>
      </c>
      <c r="BF22" s="492">
        <f>Тор!D32</f>
        <v>0</v>
      </c>
      <c r="BG22" s="303" t="e">
        <f t="shared" si="28"/>
        <v>#DIV/0!</v>
      </c>
      <c r="BH22" s="303"/>
      <c r="BI22" s="303"/>
      <c r="BJ22" s="303" t="e">
        <f t="shared" si="29"/>
        <v>#DIV/0!</v>
      </c>
      <c r="BK22" s="303"/>
      <c r="BL22" s="303"/>
      <c r="BM22" s="303"/>
      <c r="BN22" s="303">
        <f>Тор!C35</f>
        <v>0</v>
      </c>
      <c r="BO22" s="303">
        <f>Тор!D35</f>
        <v>46.570749999999997</v>
      </c>
      <c r="BP22" s="293" t="e">
        <f t="shared" si="30"/>
        <v>#DIV/0!</v>
      </c>
      <c r="BQ22" s="303">
        <f>Тор!C37</f>
        <v>0</v>
      </c>
      <c r="BR22" s="460">
        <f>Тор!D37</f>
        <v>0</v>
      </c>
      <c r="BS22" s="303" t="e">
        <f t="shared" si="31"/>
        <v>#DIV/0!</v>
      </c>
      <c r="BT22" s="303"/>
      <c r="BU22" s="303"/>
      <c r="BV22" s="320" t="e">
        <f t="shared" si="32"/>
        <v>#DIV/0!</v>
      </c>
      <c r="BW22" s="320"/>
      <c r="BX22" s="320"/>
      <c r="BY22" s="320" t="e">
        <f t="shared" si="33"/>
        <v>#DIV/0!</v>
      </c>
      <c r="BZ22" s="302">
        <f t="shared" si="34"/>
        <v>6128.6176100000002</v>
      </c>
      <c r="CA22" s="298">
        <f t="shared" si="35"/>
        <v>4750.6239999999998</v>
      </c>
      <c r="CB22" s="303">
        <f t="shared" si="54"/>
        <v>77.515425211852957</v>
      </c>
      <c r="CC22" s="303">
        <f>Тор!C42</f>
        <v>1079.5</v>
      </c>
      <c r="CD22" s="303">
        <f>Тор!D42</f>
        <v>989.52700000000004</v>
      </c>
      <c r="CE22" s="303">
        <f t="shared" si="36"/>
        <v>91.665308012968978</v>
      </c>
      <c r="CF22" s="303">
        <f>Тор!C43</f>
        <v>450</v>
      </c>
      <c r="CG22" s="303">
        <f>Тор!D43</f>
        <v>450</v>
      </c>
      <c r="CH22" s="303">
        <f t="shared" si="37"/>
        <v>100</v>
      </c>
      <c r="CI22" s="303">
        <f>Тор!C44</f>
        <v>3087.7260000000001</v>
      </c>
      <c r="CJ22" s="303">
        <f>Тор!D44</f>
        <v>2162.3879999999999</v>
      </c>
      <c r="CK22" s="303">
        <f t="shared" si="8"/>
        <v>70.031732090217844</v>
      </c>
      <c r="CL22" s="303">
        <f>Тор!C45</f>
        <v>198.36600000000001</v>
      </c>
      <c r="CM22" s="303">
        <f>Тор!D45</f>
        <v>180.68299999999999</v>
      </c>
      <c r="CN22" s="303">
        <f t="shared" si="9"/>
        <v>91.08566992327313</v>
      </c>
      <c r="CO22" s="472">
        <f>Тор!C46</f>
        <v>1145</v>
      </c>
      <c r="CP22" s="303">
        <f>Тор!D46</f>
        <v>800</v>
      </c>
      <c r="CQ22" s="293">
        <f t="shared" si="38"/>
        <v>69.868995633187765</v>
      </c>
      <c r="CR22" s="319">
        <f>Тор!C48</f>
        <v>168.02561</v>
      </c>
      <c r="CS22" s="303">
        <f>Тор!D48</f>
        <v>168.02600000000001</v>
      </c>
      <c r="CT22" s="303">
        <f t="shared" si="10"/>
        <v>100.00023210747457</v>
      </c>
      <c r="CU22" s="303"/>
      <c r="CV22" s="303">
        <f>Тор!D49</f>
        <v>0</v>
      </c>
      <c r="CW22" s="303"/>
      <c r="CX22" s="302"/>
      <c r="CY22" s="302"/>
      <c r="CZ22" s="303" t="e">
        <f t="shared" si="39"/>
        <v>#DIV/0!</v>
      </c>
      <c r="DA22" s="303"/>
      <c r="DB22" s="303"/>
      <c r="DC22" s="303"/>
      <c r="DD22" s="303"/>
      <c r="DE22" s="303"/>
      <c r="DF22" s="303"/>
      <c r="DG22" s="302">
        <f t="shared" si="40"/>
        <v>9229.8300500000005</v>
      </c>
      <c r="DH22" s="302">
        <f t="shared" si="40"/>
        <v>7000.0102799999995</v>
      </c>
      <c r="DI22" s="303">
        <f t="shared" si="41"/>
        <v>75.84116112733841</v>
      </c>
      <c r="DJ22" s="302">
        <f t="shared" si="42"/>
        <v>1182.0170000000001</v>
      </c>
      <c r="DK22" s="302">
        <f t="shared" si="42"/>
        <v>969.54800999999998</v>
      </c>
      <c r="DL22" s="303">
        <f t="shared" si="43"/>
        <v>82.024878660797597</v>
      </c>
      <c r="DM22" s="303">
        <f>Тор!C58</f>
        <v>1145.7</v>
      </c>
      <c r="DN22" s="303">
        <f>Тор!D58</f>
        <v>940.54800999999998</v>
      </c>
      <c r="DO22" s="303">
        <f t="shared" si="44"/>
        <v>82.093742690058463</v>
      </c>
      <c r="DP22" s="303">
        <f>Тор!C61</f>
        <v>28</v>
      </c>
      <c r="DQ22" s="303">
        <f>Тор!D61</f>
        <v>28</v>
      </c>
      <c r="DR22" s="303">
        <f t="shared" si="45"/>
        <v>100</v>
      </c>
      <c r="DS22" s="303">
        <f>Тор!C62</f>
        <v>5</v>
      </c>
      <c r="DT22" s="303">
        <f>Тор!D62</f>
        <v>0</v>
      </c>
      <c r="DU22" s="303">
        <f t="shared" si="46"/>
        <v>0</v>
      </c>
      <c r="DV22" s="303">
        <f>Тор!C63</f>
        <v>3.3170000000000002</v>
      </c>
      <c r="DW22" s="303">
        <f>Тор!D63</f>
        <v>1</v>
      </c>
      <c r="DX22" s="303">
        <f t="shared" si="47"/>
        <v>30.147723846849562</v>
      </c>
      <c r="DY22" s="303">
        <f>Тор!C65</f>
        <v>198.36600000000001</v>
      </c>
      <c r="DZ22" s="303">
        <f>+Тор!D64</f>
        <v>157.0196</v>
      </c>
      <c r="EA22" s="303">
        <f t="shared" si="48"/>
        <v>79.156508675881952</v>
      </c>
      <c r="EB22" s="303">
        <f>Тор!C66</f>
        <v>5.4729999999999999</v>
      </c>
      <c r="EC22" s="303">
        <f>Тор!D66</f>
        <v>3.3426</v>
      </c>
      <c r="ED22" s="303">
        <f t="shared" si="49"/>
        <v>61.074365064863876</v>
      </c>
      <c r="EE22" s="302">
        <f>Тор!C72</f>
        <v>4887.9149200000002</v>
      </c>
      <c r="EF22" s="302">
        <f>Тор!D72</f>
        <v>3492.8007200000002</v>
      </c>
      <c r="EG22" s="303">
        <f t="shared" si="50"/>
        <v>71.457886996118162</v>
      </c>
      <c r="EH22" s="302">
        <f>Тор!C78</f>
        <v>1814.9591300000002</v>
      </c>
      <c r="EI22" s="302">
        <f>Тор!D78</f>
        <v>1250.76035</v>
      </c>
      <c r="EJ22" s="303">
        <f t="shared" si="51"/>
        <v>68.913967776233065</v>
      </c>
      <c r="EK22" s="302">
        <f>Тор!C82</f>
        <v>1141.0999999999999</v>
      </c>
      <c r="EL22" s="321">
        <f>Тор!D82</f>
        <v>1126.539</v>
      </c>
      <c r="EM22" s="303">
        <f t="shared" si="11"/>
        <v>98.723950574007546</v>
      </c>
      <c r="EN22" s="303">
        <f>Тор!C84</f>
        <v>0</v>
      </c>
      <c r="EO22" s="303">
        <f>Тор!D84</f>
        <v>0</v>
      </c>
      <c r="EP22" s="303" t="e">
        <f t="shared" si="12"/>
        <v>#DIV/0!</v>
      </c>
      <c r="EQ22" s="318">
        <f>Тор!C96</f>
        <v>0</v>
      </c>
      <c r="ER22" s="318">
        <f>Тор!D96</f>
        <v>0</v>
      </c>
      <c r="ES22" s="303" t="e">
        <f t="shared" si="52"/>
        <v>#DIV/0!</v>
      </c>
      <c r="ET22" s="303">
        <f>Тор!C94</f>
        <v>0</v>
      </c>
      <c r="EU22" s="303">
        <f>Тор!D94</f>
        <v>0</v>
      </c>
      <c r="EV22" s="303" t="e">
        <f t="shared" si="53"/>
        <v>#DIV/0!</v>
      </c>
      <c r="EW22" s="322">
        <f t="shared" si="13"/>
        <v>-742.21243999999933</v>
      </c>
      <c r="EX22" s="322">
        <f t="shared" si="14"/>
        <v>-33.454109999999673</v>
      </c>
      <c r="EY22" s="303">
        <f t="shared" si="55"/>
        <v>4.5073496747103432</v>
      </c>
      <c r="EZ22" s="172"/>
      <c r="FA22" s="173"/>
      <c r="FC22" s="173"/>
      <c r="FF22" s="216"/>
      <c r="FG22" s="216"/>
      <c r="FH22" s="216"/>
      <c r="FI22" s="216"/>
      <c r="FJ22" s="216"/>
      <c r="FK22" s="216"/>
      <c r="FL22" s="216"/>
      <c r="FM22" s="216"/>
      <c r="FN22" s="216"/>
    </row>
    <row r="23" spans="1:170" s="162" customFormat="1" ht="23.25" customHeight="1">
      <c r="A23" s="335">
        <v>10</v>
      </c>
      <c r="B23" s="337" t="s">
        <v>298</v>
      </c>
      <c r="C23" s="291">
        <f t="shared" si="0"/>
        <v>5546.4499799999994</v>
      </c>
      <c r="D23" s="292">
        <f t="shared" si="1"/>
        <v>5216.4479400000009</v>
      </c>
      <c r="E23" s="300">
        <f t="shared" si="2"/>
        <v>94.050211555319962</v>
      </c>
      <c r="F23" s="294">
        <f t="shared" si="3"/>
        <v>1117.5999999999999</v>
      </c>
      <c r="G23" s="294">
        <f t="shared" si="4"/>
        <v>1069.7435500000001</v>
      </c>
      <c r="H23" s="300">
        <f t="shared" si="15"/>
        <v>95.717926807444542</v>
      </c>
      <c r="I23" s="308">
        <f>Хор!C6</f>
        <v>74.3</v>
      </c>
      <c r="J23" s="443">
        <f>Хор!D6</f>
        <v>56.657800000000002</v>
      </c>
      <c r="K23" s="300">
        <f t="shared" si="16"/>
        <v>76.255450874831766</v>
      </c>
      <c r="L23" s="300">
        <f>Хор!C8</f>
        <v>144.09</v>
      </c>
      <c r="M23" s="300">
        <f>Хор!D8</f>
        <v>155.21163999999999</v>
      </c>
      <c r="N23" s="293">
        <f t="shared" si="17"/>
        <v>107.71853702547018</v>
      </c>
      <c r="O23" s="293">
        <f>Хор!C9</f>
        <v>1.55</v>
      </c>
      <c r="P23" s="327">
        <f>Хор!D9</f>
        <v>1.1135600000000001</v>
      </c>
      <c r="Q23" s="293">
        <f t="shared" si="18"/>
        <v>71.842580645161291</v>
      </c>
      <c r="R23" s="293">
        <f>Хор!C10</f>
        <v>240.66</v>
      </c>
      <c r="S23" s="293">
        <f>Хор!D10</f>
        <v>208.54661999999999</v>
      </c>
      <c r="T23" s="293">
        <f t="shared" si="19"/>
        <v>86.656120668162544</v>
      </c>
      <c r="U23" s="293">
        <f>Хор!C11</f>
        <v>0</v>
      </c>
      <c r="V23" s="488">
        <f>Хор!D11</f>
        <v>-27.956800000000001</v>
      </c>
      <c r="W23" s="293" t="e">
        <f t="shared" si="20"/>
        <v>#DIV/0!</v>
      </c>
      <c r="X23" s="308">
        <f>Хор!C13</f>
        <v>5</v>
      </c>
      <c r="Y23" s="308">
        <f>Хор!D13</f>
        <v>7.4422300000000003</v>
      </c>
      <c r="Z23" s="300">
        <f t="shared" si="21"/>
        <v>148.84460000000001</v>
      </c>
      <c r="AA23" s="308">
        <f>Хор!C15</f>
        <v>190</v>
      </c>
      <c r="AB23" s="299">
        <f>Хор!D15</f>
        <v>250.36127999999999</v>
      </c>
      <c r="AC23" s="300">
        <f t="shared" si="22"/>
        <v>131.76909473684211</v>
      </c>
      <c r="AD23" s="308">
        <f>Хор!C16</f>
        <v>380</v>
      </c>
      <c r="AE23" s="308">
        <f>Хор!D16</f>
        <v>328.11682000000002</v>
      </c>
      <c r="AF23" s="300">
        <f t="shared" si="5"/>
        <v>86.346531578947378</v>
      </c>
      <c r="AG23" s="300">
        <f>Хор!C18</f>
        <v>5</v>
      </c>
      <c r="AH23" s="300">
        <f>Хор!D18</f>
        <v>4.0999999999999996</v>
      </c>
      <c r="AI23" s="300">
        <f t="shared" si="23"/>
        <v>82</v>
      </c>
      <c r="AJ23" s="300"/>
      <c r="AK23" s="300"/>
      <c r="AL23" s="300" t="e">
        <f t="shared" si="6"/>
        <v>#DIV/0!</v>
      </c>
      <c r="AM23" s="308">
        <v>0</v>
      </c>
      <c r="AN23" s="308">
        <v>0</v>
      </c>
      <c r="AO23" s="300" t="e">
        <f t="shared" si="7"/>
        <v>#DIV/0!</v>
      </c>
      <c r="AP23" s="308">
        <f>Хор!C27</f>
        <v>77</v>
      </c>
      <c r="AQ23" s="309">
        <f>Хор!D27</f>
        <v>81.582239999999999</v>
      </c>
      <c r="AR23" s="300">
        <f t="shared" si="24"/>
        <v>105.95096103896104</v>
      </c>
      <c r="AS23" s="302">
        <f>Хор!C28</f>
        <v>0</v>
      </c>
      <c r="AT23" s="309">
        <f>Хор!D28</f>
        <v>0</v>
      </c>
      <c r="AU23" s="300" t="e">
        <f t="shared" si="25"/>
        <v>#DIV/0!</v>
      </c>
      <c r="AV23" s="308"/>
      <c r="AW23" s="308"/>
      <c r="AX23" s="300" t="e">
        <f t="shared" si="26"/>
        <v>#DIV/0!</v>
      </c>
      <c r="AY23" s="300">
        <f>Хор!C29</f>
        <v>0</v>
      </c>
      <c r="AZ23" s="303">
        <f>Хор!D29</f>
        <v>0</v>
      </c>
      <c r="BA23" s="300" t="e">
        <f t="shared" si="27"/>
        <v>#DIV/0!</v>
      </c>
      <c r="BB23" s="300"/>
      <c r="BC23" s="300"/>
      <c r="BD23" s="300"/>
      <c r="BE23" s="300">
        <f>Хор!C33</f>
        <v>0</v>
      </c>
      <c r="BF23" s="491">
        <f>Хор!D33</f>
        <v>0</v>
      </c>
      <c r="BG23" s="300" t="e">
        <f t="shared" si="28"/>
        <v>#DIV/0!</v>
      </c>
      <c r="BH23" s="300"/>
      <c r="BI23" s="300"/>
      <c r="BJ23" s="300" t="e">
        <f t="shared" si="29"/>
        <v>#DIV/0!</v>
      </c>
      <c r="BK23" s="300"/>
      <c r="BL23" s="300"/>
      <c r="BM23" s="300"/>
      <c r="BN23" s="300"/>
      <c r="BO23" s="300">
        <f>SUM(Хор!D34)</f>
        <v>4.5681599999999998</v>
      </c>
      <c r="BP23" s="293" t="e">
        <f t="shared" si="30"/>
        <v>#DIV/0!</v>
      </c>
      <c r="BQ23" s="300">
        <f>Хор!C36</f>
        <v>0</v>
      </c>
      <c r="BR23" s="459">
        <f>Хор!D36</f>
        <v>0</v>
      </c>
      <c r="BS23" s="300" t="e">
        <f t="shared" si="31"/>
        <v>#DIV/0!</v>
      </c>
      <c r="BT23" s="300"/>
      <c r="BU23" s="300"/>
      <c r="BV23" s="310" t="e">
        <f t="shared" si="32"/>
        <v>#DIV/0!</v>
      </c>
      <c r="BW23" s="310"/>
      <c r="BX23" s="310"/>
      <c r="BY23" s="310" t="e">
        <f t="shared" si="33"/>
        <v>#DIV/0!</v>
      </c>
      <c r="BZ23" s="298">
        <f t="shared" si="34"/>
        <v>4428.84998</v>
      </c>
      <c r="CA23" s="298">
        <f t="shared" si="35"/>
        <v>4146.7043900000008</v>
      </c>
      <c r="CB23" s="300">
        <f t="shared" si="54"/>
        <v>93.62937125271516</v>
      </c>
      <c r="CC23" s="300">
        <f>Хор!C41</f>
        <v>1358.5</v>
      </c>
      <c r="CD23" s="300">
        <f>Хор!D41</f>
        <v>1245.2660000000001</v>
      </c>
      <c r="CE23" s="300">
        <f t="shared" si="36"/>
        <v>91.664777327935226</v>
      </c>
      <c r="CF23" s="300">
        <f>Хор!C43</f>
        <v>546</v>
      </c>
      <c r="CG23" s="300">
        <f>Хор!D43</f>
        <v>466</v>
      </c>
      <c r="CH23" s="300">
        <f t="shared" si="37"/>
        <v>85.347985347985343</v>
      </c>
      <c r="CI23" s="300">
        <f>Хор!C44</f>
        <v>1905.40939</v>
      </c>
      <c r="CJ23" s="300">
        <f>Хор!D44</f>
        <v>1825.0963899999999</v>
      </c>
      <c r="CK23" s="300">
        <f t="shared" si="8"/>
        <v>95.785000303792984</v>
      </c>
      <c r="CL23" s="300">
        <f>Хор!C45</f>
        <v>99.183999999999997</v>
      </c>
      <c r="CM23" s="300">
        <f>Хор!D45</f>
        <v>90.341999999999999</v>
      </c>
      <c r="CN23" s="300">
        <f t="shared" si="9"/>
        <v>91.085255686401041</v>
      </c>
      <c r="CO23" s="471">
        <f>Хор!C46</f>
        <v>400</v>
      </c>
      <c r="CP23" s="300">
        <f>Хор!D46</f>
        <v>400</v>
      </c>
      <c r="CQ23" s="293">
        <f t="shared" si="38"/>
        <v>100</v>
      </c>
      <c r="CR23" s="311">
        <f>Хор!C47</f>
        <v>119.75659</v>
      </c>
      <c r="CS23" s="300">
        <f>Хор!D47</f>
        <v>120</v>
      </c>
      <c r="CT23" s="300">
        <f t="shared" si="10"/>
        <v>100.20325395036716</v>
      </c>
      <c r="CU23" s="300"/>
      <c r="CV23" s="300"/>
      <c r="CW23" s="300"/>
      <c r="CX23" s="308"/>
      <c r="CY23" s="308"/>
      <c r="CZ23" s="300" t="e">
        <f t="shared" si="39"/>
        <v>#DIV/0!</v>
      </c>
      <c r="DA23" s="300"/>
      <c r="DB23" s="300"/>
      <c r="DC23" s="300"/>
      <c r="DD23" s="300"/>
      <c r="DE23" s="300">
        <f>Хор!D50</f>
        <v>0</v>
      </c>
      <c r="DF23" s="300"/>
      <c r="DG23" s="302">
        <f t="shared" si="40"/>
        <v>6064.1102300000002</v>
      </c>
      <c r="DH23" s="302">
        <f t="shared" si="40"/>
        <v>5223.5426399999997</v>
      </c>
      <c r="DI23" s="300">
        <f t="shared" si="41"/>
        <v>86.138649230985351</v>
      </c>
      <c r="DJ23" s="308">
        <f t="shared" si="42"/>
        <v>1050.9929999999999</v>
      </c>
      <c r="DK23" s="308">
        <f t="shared" si="42"/>
        <v>968.52085</v>
      </c>
      <c r="DL23" s="300">
        <f t="shared" si="43"/>
        <v>92.152930609433184</v>
      </c>
      <c r="DM23" s="300">
        <f>Хор!C58</f>
        <v>1019.8</v>
      </c>
      <c r="DN23" s="300">
        <f>Хор!D58</f>
        <v>944.02085</v>
      </c>
      <c r="DO23" s="300">
        <f t="shared" si="44"/>
        <v>92.569214551872932</v>
      </c>
      <c r="DP23" s="300">
        <f>Хор!C61</f>
        <v>19</v>
      </c>
      <c r="DQ23" s="300">
        <f>Хор!D61</f>
        <v>19</v>
      </c>
      <c r="DR23" s="300">
        <f t="shared" si="45"/>
        <v>100</v>
      </c>
      <c r="DS23" s="300">
        <f>Хор!C62</f>
        <v>5</v>
      </c>
      <c r="DT23" s="300">
        <f>Хор!D62</f>
        <v>0</v>
      </c>
      <c r="DU23" s="300">
        <f t="shared" si="46"/>
        <v>0</v>
      </c>
      <c r="DV23" s="300">
        <f>Хор!C63</f>
        <v>7.1929999999999996</v>
      </c>
      <c r="DW23" s="300">
        <f>Хор!D63</f>
        <v>5.5</v>
      </c>
      <c r="DX23" s="300">
        <f t="shared" si="47"/>
        <v>76.463228138467954</v>
      </c>
      <c r="DY23" s="300">
        <f>Хор!C65</f>
        <v>99.183999999999997</v>
      </c>
      <c r="DZ23" s="300">
        <f>Хор!D65</f>
        <v>71.750190000000003</v>
      </c>
      <c r="EA23" s="300">
        <f t="shared" si="48"/>
        <v>72.340488385223438</v>
      </c>
      <c r="EB23" s="300">
        <f>Хор!C66</f>
        <v>7</v>
      </c>
      <c r="EC23" s="300">
        <f>Хор!D66</f>
        <v>2.8219099999999999</v>
      </c>
      <c r="ED23" s="300">
        <f t="shared" si="49"/>
        <v>40.313000000000002</v>
      </c>
      <c r="EE23" s="308">
        <f>Хор!C72</f>
        <v>1968.6524300000001</v>
      </c>
      <c r="EF23" s="308">
        <f>Хор!D72</f>
        <v>1688.00145</v>
      </c>
      <c r="EG23" s="300">
        <f t="shared" si="50"/>
        <v>85.744005608953529</v>
      </c>
      <c r="EH23" s="308">
        <f>Хор!C77</f>
        <v>1683.1197999999999</v>
      </c>
      <c r="EI23" s="308">
        <f>Хор!D77</f>
        <v>1541.49629</v>
      </c>
      <c r="EJ23" s="300">
        <f t="shared" si="51"/>
        <v>91.585654806033418</v>
      </c>
      <c r="EK23" s="308">
        <f>Хор!C81</f>
        <v>1253.1610000000001</v>
      </c>
      <c r="EL23" s="312">
        <f>Хор!D81</f>
        <v>950.95195000000001</v>
      </c>
      <c r="EM23" s="300">
        <f t="shared" si="11"/>
        <v>75.884259883606333</v>
      </c>
      <c r="EN23" s="300">
        <f>Хор!C83</f>
        <v>0</v>
      </c>
      <c r="EO23" s="300">
        <f>Хор!D83</f>
        <v>0</v>
      </c>
      <c r="EP23" s="300" t="e">
        <f t="shared" si="12"/>
        <v>#DIV/0!</v>
      </c>
      <c r="EQ23" s="313">
        <f>Хор!C88</f>
        <v>2</v>
      </c>
      <c r="ER23" s="313">
        <f>Хор!D88</f>
        <v>0</v>
      </c>
      <c r="ES23" s="300">
        <f t="shared" si="52"/>
        <v>0</v>
      </c>
      <c r="ET23" s="300">
        <f>Хор!C94</f>
        <v>0</v>
      </c>
      <c r="EU23" s="300">
        <f>Хор!D94</f>
        <v>0</v>
      </c>
      <c r="EV23" s="293" t="e">
        <f t="shared" si="53"/>
        <v>#DIV/0!</v>
      </c>
      <c r="EW23" s="307">
        <f t="shared" si="13"/>
        <v>-517.66025000000081</v>
      </c>
      <c r="EX23" s="307">
        <f t="shared" si="14"/>
        <v>-7.0946999999987383</v>
      </c>
      <c r="EY23" s="293">
        <f t="shared" si="55"/>
        <v>1.3705321202465763</v>
      </c>
      <c r="EZ23" s="164"/>
      <c r="FA23" s="165"/>
      <c r="FC23" s="165"/>
    </row>
    <row r="24" spans="1:170" s="252" customFormat="1" ht="25.5" customHeight="1">
      <c r="A24" s="340">
        <v>11</v>
      </c>
      <c r="B24" s="337" t="s">
        <v>299</v>
      </c>
      <c r="C24" s="314">
        <f t="shared" si="0"/>
        <v>11132.413490000001</v>
      </c>
      <c r="D24" s="292">
        <f t="shared" si="1"/>
        <v>4429.1026899999997</v>
      </c>
      <c r="E24" s="300">
        <f t="shared" si="2"/>
        <v>39.78564660734677</v>
      </c>
      <c r="F24" s="294">
        <f t="shared" si="3"/>
        <v>1216.5999999999999</v>
      </c>
      <c r="G24" s="313">
        <f t="shared" si="4"/>
        <v>1078.4832899999999</v>
      </c>
      <c r="H24" s="300">
        <f t="shared" si="15"/>
        <v>88.64731957915501</v>
      </c>
      <c r="I24" s="308">
        <f>Чум!C6</f>
        <v>106.5</v>
      </c>
      <c r="J24" s="443">
        <f>Чум!D6</f>
        <v>85.110029999999995</v>
      </c>
      <c r="K24" s="300">
        <f t="shared" si="16"/>
        <v>79.915521126760552</v>
      </c>
      <c r="L24" s="300">
        <f>Чум!C8</f>
        <v>137.44999999999999</v>
      </c>
      <c r="M24" s="300">
        <f>Чум!D8</f>
        <v>148.06379000000001</v>
      </c>
      <c r="N24" s="300">
        <f t="shared" si="17"/>
        <v>107.72192797380869</v>
      </c>
      <c r="O24" s="300">
        <f>Чум!C9</f>
        <v>1.47</v>
      </c>
      <c r="P24" s="452">
        <f>Чум!D9</f>
        <v>1.0622799999999999</v>
      </c>
      <c r="Q24" s="300">
        <f t="shared" si="18"/>
        <v>72.263945578231287</v>
      </c>
      <c r="R24" s="300">
        <f>Чум!C10</f>
        <v>229.58</v>
      </c>
      <c r="S24" s="300">
        <f>Чум!D10</f>
        <v>198.9425</v>
      </c>
      <c r="T24" s="300">
        <f t="shared" si="19"/>
        <v>86.6549786566774</v>
      </c>
      <c r="U24" s="300">
        <f>Чум!C11</f>
        <v>0</v>
      </c>
      <c r="V24" s="490">
        <f>Чум!D11</f>
        <v>-26.669309999999999</v>
      </c>
      <c r="W24" s="300" t="e">
        <f t="shared" si="20"/>
        <v>#DIV/0!</v>
      </c>
      <c r="X24" s="308">
        <f>Чум!C13</f>
        <v>70</v>
      </c>
      <c r="Y24" s="308">
        <f>Чум!D13</f>
        <v>46.557000000000002</v>
      </c>
      <c r="Z24" s="300">
        <f t="shared" si="21"/>
        <v>66.510000000000005</v>
      </c>
      <c r="AA24" s="308">
        <f>Чум!C15</f>
        <v>95</v>
      </c>
      <c r="AB24" s="299">
        <f>Чум!D15</f>
        <v>81.944270000000003</v>
      </c>
      <c r="AC24" s="300">
        <f t="shared" si="22"/>
        <v>86.257126315789478</v>
      </c>
      <c r="AD24" s="308">
        <f>Чум!C16</f>
        <v>451</v>
      </c>
      <c r="AE24" s="308">
        <f>Чум!D16</f>
        <v>418.25477999999998</v>
      </c>
      <c r="AF24" s="300">
        <f t="shared" si="5"/>
        <v>92.73941906873614</v>
      </c>
      <c r="AG24" s="300">
        <f>Чум!C18</f>
        <v>5</v>
      </c>
      <c r="AH24" s="300">
        <f>Чум!D18</f>
        <v>3.05</v>
      </c>
      <c r="AI24" s="300">
        <f t="shared" si="23"/>
        <v>61</v>
      </c>
      <c r="AJ24" s="300">
        <f>Чум!C22</f>
        <v>0</v>
      </c>
      <c r="AK24" s="300">
        <f>Чум!D20</f>
        <v>0</v>
      </c>
      <c r="AL24" s="300" t="e">
        <f>AK24/AJ24*100</f>
        <v>#DIV/0!</v>
      </c>
      <c r="AM24" s="308">
        <v>0</v>
      </c>
      <c r="AN24" s="308"/>
      <c r="AO24" s="300" t="e">
        <f t="shared" si="7"/>
        <v>#DIV/0!</v>
      </c>
      <c r="AP24" s="308">
        <f>Чум!C27</f>
        <v>85.6</v>
      </c>
      <c r="AQ24" s="309">
        <f>Чум!D27</f>
        <v>85.628799999999998</v>
      </c>
      <c r="AR24" s="300">
        <f t="shared" si="24"/>
        <v>100.03364485981309</v>
      </c>
      <c r="AS24" s="308">
        <f>Чум!C28</f>
        <v>0</v>
      </c>
      <c r="AT24" s="309">
        <f>Чум!D28</f>
        <v>0</v>
      </c>
      <c r="AU24" s="300" t="e">
        <f t="shared" si="25"/>
        <v>#DIV/0!</v>
      </c>
      <c r="AV24" s="308"/>
      <c r="AW24" s="308"/>
      <c r="AX24" s="300" t="e">
        <f t="shared" si="26"/>
        <v>#DIV/0!</v>
      </c>
      <c r="AY24" s="300">
        <f>Чум!C30</f>
        <v>35</v>
      </c>
      <c r="AZ24" s="303">
        <f>Чум!D30</f>
        <v>16.299720000000001</v>
      </c>
      <c r="BA24" s="300">
        <f t="shared" si="27"/>
        <v>46.570628571428571</v>
      </c>
      <c r="BB24" s="300"/>
      <c r="BC24" s="300"/>
      <c r="BD24" s="300"/>
      <c r="BE24" s="300">
        <f>Чум!C33</f>
        <v>0</v>
      </c>
      <c r="BF24" s="491">
        <f>Чум!D33</f>
        <v>0</v>
      </c>
      <c r="BG24" s="300" t="e">
        <f t="shared" si="28"/>
        <v>#DIV/0!</v>
      </c>
      <c r="BH24" s="300"/>
      <c r="BI24" s="300"/>
      <c r="BJ24" s="300" t="e">
        <f t="shared" si="29"/>
        <v>#DIV/0!</v>
      </c>
      <c r="BK24" s="300"/>
      <c r="BL24" s="300"/>
      <c r="BM24" s="300"/>
      <c r="BN24" s="300"/>
      <c r="BO24" s="300">
        <f>Чум!D34</f>
        <v>20.239429999999999</v>
      </c>
      <c r="BP24" s="293" t="e">
        <f t="shared" si="30"/>
        <v>#DIV/0!</v>
      </c>
      <c r="BQ24" s="300">
        <f>Чум!C37</f>
        <v>0</v>
      </c>
      <c r="BR24" s="459">
        <f>Чум!D37</f>
        <v>0</v>
      </c>
      <c r="BS24" s="300" t="e">
        <f t="shared" si="31"/>
        <v>#DIV/0!</v>
      </c>
      <c r="BT24" s="300"/>
      <c r="BU24" s="300"/>
      <c r="BV24" s="310" t="e">
        <f t="shared" si="32"/>
        <v>#DIV/0!</v>
      </c>
      <c r="BW24" s="310"/>
      <c r="BX24" s="310"/>
      <c r="BY24" s="310" t="e">
        <f t="shared" si="33"/>
        <v>#DIV/0!</v>
      </c>
      <c r="BZ24" s="308">
        <f t="shared" si="34"/>
        <v>9915.8134900000005</v>
      </c>
      <c r="CA24" s="308">
        <f t="shared" si="35"/>
        <v>3350.6193999999996</v>
      </c>
      <c r="CB24" s="300">
        <f t="shared" si="54"/>
        <v>33.790665822618244</v>
      </c>
      <c r="CC24" s="300">
        <f>Чум!C42</f>
        <v>2064.4</v>
      </c>
      <c r="CD24" s="300">
        <f>Чум!D42</f>
        <v>1892.3344</v>
      </c>
      <c r="CE24" s="300">
        <f t="shared" si="36"/>
        <v>91.66510366208098</v>
      </c>
      <c r="CF24" s="300">
        <f>Чум!C43</f>
        <v>200</v>
      </c>
      <c r="CG24" s="300">
        <f>Чум!D43</f>
        <v>200</v>
      </c>
      <c r="CH24" s="300">
        <f t="shared" si="37"/>
        <v>100</v>
      </c>
      <c r="CI24" s="300">
        <f>Чум!C44</f>
        <v>5445.3351199999997</v>
      </c>
      <c r="CJ24" s="300">
        <f>Чум!D44</f>
        <v>416.34199999999998</v>
      </c>
      <c r="CK24" s="300">
        <f t="shared" si="8"/>
        <v>7.6458471485222388</v>
      </c>
      <c r="CL24" s="300">
        <f>Чум!C45</f>
        <v>99.185000000000002</v>
      </c>
      <c r="CM24" s="300">
        <f>Чум!D45</f>
        <v>90.343000000000004</v>
      </c>
      <c r="CN24" s="300">
        <f t="shared" si="9"/>
        <v>91.085345566365888</v>
      </c>
      <c r="CO24" s="471">
        <f>Чум!C46</f>
        <v>2072.4111699999999</v>
      </c>
      <c r="CP24" s="300">
        <f>Чум!D46</f>
        <v>700</v>
      </c>
      <c r="CQ24" s="293">
        <f t="shared" si="38"/>
        <v>33.777081022005881</v>
      </c>
      <c r="CR24" s="311">
        <f>Чум!C50</f>
        <v>34.482199999999999</v>
      </c>
      <c r="CS24" s="300">
        <f>Чум!D50</f>
        <v>51.6</v>
      </c>
      <c r="CT24" s="300">
        <f t="shared" si="10"/>
        <v>149.64242420727217</v>
      </c>
      <c r="CU24" s="300"/>
      <c r="CV24" s="300"/>
      <c r="CW24" s="300"/>
      <c r="CX24" s="308"/>
      <c r="CY24" s="308"/>
      <c r="CZ24" s="300" t="e">
        <f t="shared" si="39"/>
        <v>#DIV/0!</v>
      </c>
      <c r="DA24" s="300"/>
      <c r="DB24" s="300"/>
      <c r="DC24" s="300"/>
      <c r="DD24" s="300"/>
      <c r="DE24" s="300"/>
      <c r="DF24" s="300"/>
      <c r="DG24" s="302">
        <f t="shared" si="40"/>
        <v>11555.98425</v>
      </c>
      <c r="DH24" s="302">
        <f t="shared" si="40"/>
        <v>4757.1957299999995</v>
      </c>
      <c r="DI24" s="300">
        <f t="shared" si="41"/>
        <v>41.16651275290549</v>
      </c>
      <c r="DJ24" s="308">
        <f t="shared" si="42"/>
        <v>1396.1200000000001</v>
      </c>
      <c r="DK24" s="308">
        <f t="shared" si="42"/>
        <v>1233.3956900000001</v>
      </c>
      <c r="DL24" s="300">
        <f t="shared" si="43"/>
        <v>88.344532704925072</v>
      </c>
      <c r="DM24" s="300">
        <f>Чум!C58</f>
        <v>1340.9</v>
      </c>
      <c r="DN24" s="300">
        <f>Чум!D58</f>
        <v>1185.3956900000001</v>
      </c>
      <c r="DO24" s="300">
        <f t="shared" si="44"/>
        <v>88.402989782981578</v>
      </c>
      <c r="DP24" s="300">
        <f>Чум!C61</f>
        <v>27</v>
      </c>
      <c r="DQ24" s="300">
        <f>Чум!D61</f>
        <v>27</v>
      </c>
      <c r="DR24" s="300">
        <f t="shared" si="45"/>
        <v>100</v>
      </c>
      <c r="DS24" s="300">
        <f>Чум!C62</f>
        <v>5</v>
      </c>
      <c r="DT24" s="300">
        <f>Чум!D62</f>
        <v>0</v>
      </c>
      <c r="DU24" s="300">
        <f t="shared" si="46"/>
        <v>0</v>
      </c>
      <c r="DV24" s="300">
        <f>Чум!C63</f>
        <v>23.22</v>
      </c>
      <c r="DW24" s="300">
        <f>Чум!D63</f>
        <v>21</v>
      </c>
      <c r="DX24" s="300">
        <f t="shared" si="47"/>
        <v>90.439276485788128</v>
      </c>
      <c r="DY24" s="300">
        <f>Чум!C65</f>
        <v>99.185000000000002</v>
      </c>
      <c r="DZ24" s="300">
        <f>Чум!D65</f>
        <v>79.913489999999996</v>
      </c>
      <c r="EA24" s="300">
        <f t="shared" si="48"/>
        <v>80.5701366133992</v>
      </c>
      <c r="EB24" s="300">
        <f>Чум!C66</f>
        <v>7.4</v>
      </c>
      <c r="EC24" s="300">
        <f>Чум!D66</f>
        <v>4.6219099999999997</v>
      </c>
      <c r="ED24" s="300">
        <f t="shared" si="49"/>
        <v>62.458243243243238</v>
      </c>
      <c r="EE24" s="308">
        <f>Чум!C72</f>
        <v>2951.3258799999999</v>
      </c>
      <c r="EF24" s="308">
        <f>Чум!D72</f>
        <v>1447.9794199999999</v>
      </c>
      <c r="EG24" s="300">
        <f t="shared" si="50"/>
        <v>49.061997179382985</v>
      </c>
      <c r="EH24" s="308">
        <f>Чум!C77</f>
        <v>6069.5533699999996</v>
      </c>
      <c r="EI24" s="308">
        <f>Чум!D77</f>
        <v>1221.1652200000001</v>
      </c>
      <c r="EJ24" s="300">
        <f t="shared" si="51"/>
        <v>20.119523555651678</v>
      </c>
      <c r="EK24" s="308">
        <f>Чум!C81</f>
        <v>1022.4</v>
      </c>
      <c r="EL24" s="312">
        <f>Чум!D81</f>
        <v>766.8</v>
      </c>
      <c r="EM24" s="300">
        <f t="shared" si="11"/>
        <v>75</v>
      </c>
      <c r="EN24" s="300">
        <f>Чум!C83</f>
        <v>0</v>
      </c>
      <c r="EO24" s="300">
        <f>Чум!D83</f>
        <v>0</v>
      </c>
      <c r="EP24" s="300" t="e">
        <f t="shared" si="12"/>
        <v>#DIV/0!</v>
      </c>
      <c r="EQ24" s="313">
        <f>Чум!C88</f>
        <v>10</v>
      </c>
      <c r="ER24" s="313">
        <f>Чум!D88</f>
        <v>3.32</v>
      </c>
      <c r="ES24" s="300">
        <f t="shared" si="52"/>
        <v>33.199999999999996</v>
      </c>
      <c r="ET24" s="300">
        <f>Чум!C94</f>
        <v>0</v>
      </c>
      <c r="EU24" s="300">
        <f>Чум!D94</f>
        <v>0</v>
      </c>
      <c r="EV24" s="300" t="e">
        <f t="shared" si="53"/>
        <v>#DIV/0!</v>
      </c>
      <c r="EW24" s="323">
        <f t="shared" si="13"/>
        <v>-423.5707599999987</v>
      </c>
      <c r="EX24" s="323">
        <f t="shared" si="14"/>
        <v>-328.09303999999975</v>
      </c>
      <c r="EY24" s="300">
        <f t="shared" si="55"/>
        <v>77.458850086819197</v>
      </c>
      <c r="EZ24" s="250"/>
      <c r="FA24" s="251"/>
      <c r="FC24" s="251"/>
    </row>
    <row r="25" spans="1:170" s="174" customFormat="1" ht="22.5" customHeight="1">
      <c r="A25" s="338">
        <v>12</v>
      </c>
      <c r="B25" s="339" t="s">
        <v>300</v>
      </c>
      <c r="C25" s="316">
        <f t="shared" si="0"/>
        <v>6129.4759000000013</v>
      </c>
      <c r="D25" s="317">
        <f t="shared" si="1"/>
        <v>4302.3962599999995</v>
      </c>
      <c r="E25" s="303">
        <f t="shared" si="2"/>
        <v>70.19191086141636</v>
      </c>
      <c r="F25" s="294">
        <f t="shared" si="3"/>
        <v>1011.4300000000001</v>
      </c>
      <c r="G25" s="318">
        <f t="shared" si="4"/>
        <v>821.99725999999998</v>
      </c>
      <c r="H25" s="303">
        <f t="shared" si="15"/>
        <v>81.270800747456562</v>
      </c>
      <c r="I25" s="302">
        <f>Шать!C6</f>
        <v>44.3</v>
      </c>
      <c r="J25" s="443">
        <f>Шать!D6</f>
        <v>47.4544</v>
      </c>
      <c r="K25" s="303">
        <f t="shared" si="16"/>
        <v>107.12054176072235</v>
      </c>
      <c r="L25" s="303">
        <f>Шать!C8</f>
        <v>140.30000000000001</v>
      </c>
      <c r="M25" s="303">
        <f>Шать!D8</f>
        <v>151.12719000000001</v>
      </c>
      <c r="N25" s="303">
        <f t="shared" si="17"/>
        <v>107.71717034925162</v>
      </c>
      <c r="O25" s="303">
        <f>Шать!C9</f>
        <v>1.5</v>
      </c>
      <c r="P25" s="451">
        <f>Шать!D9</f>
        <v>1.08426</v>
      </c>
      <c r="Q25" s="303">
        <f t="shared" si="18"/>
        <v>72.284000000000006</v>
      </c>
      <c r="R25" s="303">
        <f>Шать!C10</f>
        <v>234.33</v>
      </c>
      <c r="S25" s="303">
        <f>Шать!D10</f>
        <v>203.05859000000001</v>
      </c>
      <c r="T25" s="303">
        <f t="shared" si="19"/>
        <v>86.654969487474929</v>
      </c>
      <c r="U25" s="303">
        <f>Шать!C11</f>
        <v>0</v>
      </c>
      <c r="V25" s="489">
        <f>Шать!D11</f>
        <v>-27.221080000000001</v>
      </c>
      <c r="W25" s="303" t="e">
        <f t="shared" si="20"/>
        <v>#DIV/0!</v>
      </c>
      <c r="X25" s="302">
        <f>Шать!C13</f>
        <v>50</v>
      </c>
      <c r="Y25" s="302">
        <f>Шать!D13</f>
        <v>20.873100000000001</v>
      </c>
      <c r="Z25" s="303">
        <f t="shared" si="21"/>
        <v>41.746200000000002</v>
      </c>
      <c r="AA25" s="302">
        <f>Шать!C15</f>
        <v>65</v>
      </c>
      <c r="AB25" s="299">
        <f>Шать!D15</f>
        <v>48.594990000000003</v>
      </c>
      <c r="AC25" s="303">
        <f t="shared" si="22"/>
        <v>74.761523076923083</v>
      </c>
      <c r="AD25" s="302">
        <f>Шать!C16</f>
        <v>274</v>
      </c>
      <c r="AE25" s="302">
        <f>Шать!D16</f>
        <v>251.99203</v>
      </c>
      <c r="AF25" s="303">
        <f t="shared" si="5"/>
        <v>91.967894160583938</v>
      </c>
      <c r="AG25" s="303">
        <f>Шать!C18</f>
        <v>3</v>
      </c>
      <c r="AH25" s="303">
        <f>Шать!D18</f>
        <v>2.35</v>
      </c>
      <c r="AI25" s="303">
        <f t="shared" si="23"/>
        <v>78.333333333333329</v>
      </c>
      <c r="AJ25" s="303"/>
      <c r="AK25" s="303"/>
      <c r="AL25" s="303" t="e">
        <f>AJ25/AK25*100</f>
        <v>#DIV/0!</v>
      </c>
      <c r="AM25" s="302">
        <v>0</v>
      </c>
      <c r="AN25" s="302">
        <f>0</f>
        <v>0</v>
      </c>
      <c r="AO25" s="303" t="e">
        <f t="shared" si="7"/>
        <v>#DIV/0!</v>
      </c>
      <c r="AP25" s="302">
        <f>Шать!C27</f>
        <v>153</v>
      </c>
      <c r="AQ25" s="309">
        <f>Шать!D27</f>
        <v>86.087850000000003</v>
      </c>
      <c r="AR25" s="303">
        <f t="shared" si="24"/>
        <v>56.266568627450987</v>
      </c>
      <c r="AS25" s="302">
        <f>Шать!C28</f>
        <v>26</v>
      </c>
      <c r="AT25" s="299">
        <f>Шать!D28</f>
        <v>23.843599999999999</v>
      </c>
      <c r="AU25" s="303">
        <f t="shared" si="25"/>
        <v>91.706153846153839</v>
      </c>
      <c r="AV25" s="302"/>
      <c r="AW25" s="302"/>
      <c r="AX25" s="303" t="e">
        <f t="shared" si="26"/>
        <v>#DIV/0!</v>
      </c>
      <c r="AY25" s="303">
        <f>Шать!C29</f>
        <v>20</v>
      </c>
      <c r="AZ25" s="303">
        <f>Шать!D29</f>
        <v>7.62521</v>
      </c>
      <c r="BA25" s="303">
        <f t="shared" si="27"/>
        <v>38.126049999999999</v>
      </c>
      <c r="BB25" s="303"/>
      <c r="BC25" s="303"/>
      <c r="BD25" s="303"/>
      <c r="BE25" s="303">
        <f>Шать!C33</f>
        <v>0</v>
      </c>
      <c r="BF25" s="492">
        <f>Шать!D33</f>
        <v>0</v>
      </c>
      <c r="BG25" s="303" t="e">
        <f t="shared" si="28"/>
        <v>#DIV/0!</v>
      </c>
      <c r="BH25" s="303"/>
      <c r="BI25" s="303"/>
      <c r="BJ25" s="303" t="e">
        <f t="shared" si="29"/>
        <v>#DIV/0!</v>
      </c>
      <c r="BK25" s="303"/>
      <c r="BL25" s="303"/>
      <c r="BM25" s="303"/>
      <c r="BN25" s="303">
        <f>Шать!C34</f>
        <v>0</v>
      </c>
      <c r="BO25" s="303">
        <f>Шать!D34</f>
        <v>5.1271199999999997</v>
      </c>
      <c r="BP25" s="293" t="e">
        <f t="shared" si="30"/>
        <v>#DIV/0!</v>
      </c>
      <c r="BQ25" s="303">
        <f>Шать!C37</f>
        <v>0</v>
      </c>
      <c r="BR25" s="460">
        <v>0</v>
      </c>
      <c r="BS25" s="303" t="e">
        <f t="shared" si="31"/>
        <v>#DIV/0!</v>
      </c>
      <c r="BT25" s="303"/>
      <c r="BU25" s="303"/>
      <c r="BV25" s="320" t="e">
        <f t="shared" si="32"/>
        <v>#DIV/0!</v>
      </c>
      <c r="BW25" s="320"/>
      <c r="BX25" s="320"/>
      <c r="BY25" s="320" t="e">
        <f t="shared" si="33"/>
        <v>#DIV/0!</v>
      </c>
      <c r="BZ25" s="302">
        <f t="shared" si="34"/>
        <v>5118.045900000001</v>
      </c>
      <c r="CA25" s="298">
        <f t="shared" si="35"/>
        <v>3480.3989999999999</v>
      </c>
      <c r="CB25" s="303">
        <f t="shared" si="54"/>
        <v>68.002496812308763</v>
      </c>
      <c r="CC25" s="303">
        <f>Шать!C42</f>
        <v>1263.2</v>
      </c>
      <c r="CD25" s="303">
        <f>Шать!D42</f>
        <v>1157.915</v>
      </c>
      <c r="CE25" s="303">
        <f t="shared" si="36"/>
        <v>91.665215326155788</v>
      </c>
      <c r="CF25" s="303">
        <f>Шать!C43</f>
        <v>700</v>
      </c>
      <c r="CG25" s="303">
        <f>Шать!D43</f>
        <v>700</v>
      </c>
      <c r="CH25" s="303">
        <f t="shared" si="37"/>
        <v>100</v>
      </c>
      <c r="CI25" s="303">
        <f>Шать!C44</f>
        <v>2173.6509000000001</v>
      </c>
      <c r="CJ25" s="303">
        <f>Шать!D44</f>
        <v>749.54200000000003</v>
      </c>
      <c r="CK25" s="303">
        <f t="shared" si="8"/>
        <v>34.483090177912196</v>
      </c>
      <c r="CL25" s="303">
        <f>Шать!C45</f>
        <v>99.185000000000002</v>
      </c>
      <c r="CM25" s="303">
        <f>Шать!D45</f>
        <v>90.341999999999999</v>
      </c>
      <c r="CN25" s="303">
        <f t="shared" si="9"/>
        <v>91.084337349397586</v>
      </c>
      <c r="CO25" s="472">
        <f>Шать!C46</f>
        <v>800</v>
      </c>
      <c r="CP25" s="303">
        <f>Шать!D46</f>
        <v>700</v>
      </c>
      <c r="CQ25" s="293">
        <f t="shared" si="38"/>
        <v>87.5</v>
      </c>
      <c r="CR25" s="319">
        <f>Шать!C50</f>
        <v>82.01</v>
      </c>
      <c r="CS25" s="303">
        <f>Шать!D50</f>
        <v>82.6</v>
      </c>
      <c r="CT25" s="303">
        <f t="shared" si="10"/>
        <v>100.71942446043165</v>
      </c>
      <c r="CU25" s="303"/>
      <c r="CV25" s="303"/>
      <c r="CW25" s="303"/>
      <c r="CX25" s="302"/>
      <c r="CY25" s="302"/>
      <c r="CZ25" s="303" t="e">
        <f t="shared" si="39"/>
        <v>#DIV/0!</v>
      </c>
      <c r="DA25" s="303"/>
      <c r="DB25" s="303"/>
      <c r="DC25" s="303"/>
      <c r="DD25" s="303"/>
      <c r="DE25" s="303"/>
      <c r="DF25" s="303"/>
      <c r="DG25" s="302">
        <f t="shared" si="40"/>
        <v>6569.673569999999</v>
      </c>
      <c r="DH25" s="302">
        <f t="shared" si="40"/>
        <v>3860.81853</v>
      </c>
      <c r="DI25" s="303">
        <f>DH25/DG25*100</f>
        <v>58.767281035547711</v>
      </c>
      <c r="DJ25" s="302">
        <f t="shared" si="42"/>
        <v>1181.259</v>
      </c>
      <c r="DK25" s="302">
        <f t="shared" si="42"/>
        <v>979.26771000000008</v>
      </c>
      <c r="DL25" s="303">
        <f t="shared" si="43"/>
        <v>82.90033853710321</v>
      </c>
      <c r="DM25" s="303">
        <f>Шать!C58</f>
        <v>1153.2</v>
      </c>
      <c r="DN25" s="303">
        <f>Шать!D58</f>
        <v>957.75071000000003</v>
      </c>
      <c r="DO25" s="303">
        <f t="shared" si="44"/>
        <v>83.051570412764477</v>
      </c>
      <c r="DP25" s="303">
        <f>Шать!C61</f>
        <v>20.516999999999999</v>
      </c>
      <c r="DQ25" s="303">
        <f>Шать!D61</f>
        <v>20.516999999999999</v>
      </c>
      <c r="DR25" s="303">
        <f t="shared" si="45"/>
        <v>100</v>
      </c>
      <c r="DS25" s="303">
        <f>Шать!C62</f>
        <v>5</v>
      </c>
      <c r="DT25" s="303">
        <f>Шать!D62</f>
        <v>0</v>
      </c>
      <c r="DU25" s="303">
        <f t="shared" si="46"/>
        <v>0</v>
      </c>
      <c r="DV25" s="303">
        <f>Шать!C63</f>
        <v>2.5419999999999998</v>
      </c>
      <c r="DW25" s="303">
        <f>Шать!D63</f>
        <v>1</v>
      </c>
      <c r="DX25" s="303">
        <f t="shared" si="47"/>
        <v>39.339103068450044</v>
      </c>
      <c r="DY25" s="303">
        <f>Шать!C65</f>
        <v>99.185000000000002</v>
      </c>
      <c r="DZ25" s="303">
        <f>Шать!D65</f>
        <v>81.117909999999995</v>
      </c>
      <c r="EA25" s="303">
        <f t="shared" si="48"/>
        <v>81.784453294348936</v>
      </c>
      <c r="EB25" s="303">
        <f>Шать!C66</f>
        <v>5.87</v>
      </c>
      <c r="EC25" s="303">
        <f>Шать!D66</f>
        <v>2.8696000000000002</v>
      </c>
      <c r="ED25" s="303">
        <f t="shared" si="49"/>
        <v>48.885860306643956</v>
      </c>
      <c r="EE25" s="302">
        <f>Шать!C72</f>
        <v>3154.1075699999997</v>
      </c>
      <c r="EF25" s="302">
        <f>Шать!D72</f>
        <v>1229.00488</v>
      </c>
      <c r="EG25" s="303">
        <f t="shared" si="50"/>
        <v>38.965217663771689</v>
      </c>
      <c r="EH25" s="302">
        <f>Шать!C77</f>
        <v>1294.8520000000001</v>
      </c>
      <c r="EI25" s="302">
        <f>Шать!D77</f>
        <v>798.55843000000004</v>
      </c>
      <c r="EJ25" s="303">
        <f t="shared" si="51"/>
        <v>61.671791834124669</v>
      </c>
      <c r="EK25" s="302">
        <f>Шать!C81</f>
        <v>832.4</v>
      </c>
      <c r="EL25" s="321">
        <f>Шать!D81</f>
        <v>770</v>
      </c>
      <c r="EM25" s="303">
        <f t="shared" si="11"/>
        <v>92.503604036520898</v>
      </c>
      <c r="EN25" s="303">
        <f>Шать!C83</f>
        <v>0</v>
      </c>
      <c r="EO25" s="303">
        <f>Шать!D83</f>
        <v>0</v>
      </c>
      <c r="EP25" s="303" t="e">
        <f t="shared" si="12"/>
        <v>#DIV/0!</v>
      </c>
      <c r="EQ25" s="318">
        <f>Шать!C88</f>
        <v>2</v>
      </c>
      <c r="ER25" s="318">
        <f>Шать!D88</f>
        <v>0</v>
      </c>
      <c r="ES25" s="303">
        <f t="shared" si="52"/>
        <v>0</v>
      </c>
      <c r="ET25" s="303">
        <f>Шать!C94</f>
        <v>0</v>
      </c>
      <c r="EU25" s="303">
        <f>Шать!D94</f>
        <v>0</v>
      </c>
      <c r="EV25" s="303" t="e">
        <f t="shared" si="53"/>
        <v>#DIV/0!</v>
      </c>
      <c r="EW25" s="322">
        <f t="shared" si="13"/>
        <v>-440.19766999999774</v>
      </c>
      <c r="EX25" s="322">
        <f t="shared" si="14"/>
        <v>441.57772999999952</v>
      </c>
      <c r="EY25" s="303">
        <f t="shared" si="55"/>
        <v>-100.31350915601207</v>
      </c>
      <c r="EZ25" s="172"/>
      <c r="FA25" s="173"/>
      <c r="FC25" s="173"/>
    </row>
    <row r="26" spans="1:170" s="252" customFormat="1" ht="24.75" customHeight="1">
      <c r="A26" s="341">
        <v>13</v>
      </c>
      <c r="B26" s="337" t="s">
        <v>301</v>
      </c>
      <c r="C26" s="314">
        <f t="shared" si="0"/>
        <v>8703.6660000000011</v>
      </c>
      <c r="D26" s="292">
        <f t="shared" si="1"/>
        <v>8582.4519199999995</v>
      </c>
      <c r="E26" s="300">
        <f t="shared" si="2"/>
        <v>98.607321558524859</v>
      </c>
      <c r="F26" s="294">
        <f t="shared" si="3"/>
        <v>3496.1520000000005</v>
      </c>
      <c r="G26" s="313">
        <f t="shared" si="4"/>
        <v>3382.85682</v>
      </c>
      <c r="H26" s="300">
        <f t="shared" si="15"/>
        <v>96.759432084188546</v>
      </c>
      <c r="I26" s="308">
        <f>Юнг!C6</f>
        <v>115.4</v>
      </c>
      <c r="J26" s="443">
        <f>Юнг!D6</f>
        <v>106.57025</v>
      </c>
      <c r="K26" s="300">
        <f t="shared" si="16"/>
        <v>92.34857019064124</v>
      </c>
      <c r="L26" s="300">
        <f>Юнг!C8</f>
        <v>227.51</v>
      </c>
      <c r="M26" s="300">
        <f>Юнг!D8</f>
        <v>245.07113000000001</v>
      </c>
      <c r="N26" s="300">
        <f t="shared" si="17"/>
        <v>107.71883873236344</v>
      </c>
      <c r="O26" s="300">
        <f>Юнг!C9</f>
        <v>2.4300000000000002</v>
      </c>
      <c r="P26" s="452">
        <f>Юнг!D9</f>
        <v>1.7582199999999999</v>
      </c>
      <c r="Q26" s="300">
        <f t="shared" si="18"/>
        <v>72.354732510288059</v>
      </c>
      <c r="R26" s="300">
        <f>Юнг!C10</f>
        <v>380</v>
      </c>
      <c r="S26" s="300">
        <f>Юнг!D10</f>
        <v>329.28417000000002</v>
      </c>
      <c r="T26" s="300">
        <f t="shared" si="19"/>
        <v>86.653728947368421</v>
      </c>
      <c r="U26" s="300">
        <f>Юнг!C11</f>
        <v>0</v>
      </c>
      <c r="V26" s="490">
        <f>Юнг!D11</f>
        <v>-44.142310000000002</v>
      </c>
      <c r="W26" s="300" t="e">
        <f t="shared" si="20"/>
        <v>#DIV/0!</v>
      </c>
      <c r="X26" s="308">
        <f>Юнг!C13</f>
        <v>49.012</v>
      </c>
      <c r="Y26" s="308">
        <f>Юнг!D13</f>
        <v>179.63220999999999</v>
      </c>
      <c r="Z26" s="300">
        <f t="shared" si="21"/>
        <v>366.50659022280252</v>
      </c>
      <c r="AA26" s="308">
        <f>Юнг!C15</f>
        <v>260</v>
      </c>
      <c r="AB26" s="299">
        <f>Юнг!D15</f>
        <v>181.21019000000001</v>
      </c>
      <c r="AC26" s="300">
        <f t="shared" si="22"/>
        <v>69.696226923076935</v>
      </c>
      <c r="AD26" s="308">
        <f>Юнг!C16</f>
        <v>1979</v>
      </c>
      <c r="AE26" s="308">
        <f>Юнг!D16</f>
        <v>1644.87924</v>
      </c>
      <c r="AF26" s="300">
        <f t="shared" si="5"/>
        <v>83.116687215765538</v>
      </c>
      <c r="AG26" s="300">
        <f>Юнг!C18</f>
        <v>10</v>
      </c>
      <c r="AH26" s="300">
        <f>Юнг!D18</f>
        <v>3</v>
      </c>
      <c r="AI26" s="300">
        <f t="shared" si="23"/>
        <v>30</v>
      </c>
      <c r="AJ26" s="300"/>
      <c r="AK26" s="300"/>
      <c r="AL26" s="300" t="e">
        <f>AJ26/AK26*100</f>
        <v>#DIV/0!</v>
      </c>
      <c r="AM26" s="308">
        <v>0</v>
      </c>
      <c r="AN26" s="308"/>
      <c r="AO26" s="300" t="e">
        <f t="shared" si="7"/>
        <v>#DIV/0!</v>
      </c>
      <c r="AP26" s="308">
        <f>Юнг!C27</f>
        <v>353.3</v>
      </c>
      <c r="AQ26" s="309">
        <f>Юнг!D27</f>
        <v>674.42188999999996</v>
      </c>
      <c r="AR26" s="300">
        <f t="shared" si="24"/>
        <v>190.89212850268891</v>
      </c>
      <c r="AS26" s="308">
        <f>Юнг!C28</f>
        <v>79.5</v>
      </c>
      <c r="AT26" s="309">
        <f>Юнг!D28</f>
        <v>33.60127</v>
      </c>
      <c r="AU26" s="300">
        <f t="shared" si="25"/>
        <v>42.265748427672953</v>
      </c>
      <c r="AV26" s="308"/>
      <c r="AW26" s="308"/>
      <c r="AX26" s="300" t="e">
        <f t="shared" si="26"/>
        <v>#DIV/0!</v>
      </c>
      <c r="AY26" s="300">
        <f>Юнг!C30</f>
        <v>40</v>
      </c>
      <c r="AZ26" s="303">
        <f>Юнг!D30</f>
        <v>19.821079999999998</v>
      </c>
      <c r="BA26" s="300">
        <f t="shared" si="27"/>
        <v>49.552699999999994</v>
      </c>
      <c r="BB26" s="300"/>
      <c r="BC26" s="300"/>
      <c r="BD26" s="300"/>
      <c r="BE26" s="300">
        <f>Юнг!C33</f>
        <v>0</v>
      </c>
      <c r="BF26" s="491">
        <f>Юнг!D31</f>
        <v>0</v>
      </c>
      <c r="BG26" s="300" t="e">
        <f t="shared" si="28"/>
        <v>#DIV/0!</v>
      </c>
      <c r="BH26" s="300"/>
      <c r="BI26" s="300"/>
      <c r="BJ26" s="300" t="e">
        <f t="shared" si="29"/>
        <v>#DIV/0!</v>
      </c>
      <c r="BK26" s="300"/>
      <c r="BL26" s="300"/>
      <c r="BM26" s="300"/>
      <c r="BN26" s="300">
        <f>Юнг!C34</f>
        <v>0</v>
      </c>
      <c r="BO26" s="300">
        <f>Юнг!D34</f>
        <v>7.7494800000000001</v>
      </c>
      <c r="BP26" s="293" t="e">
        <f t="shared" si="30"/>
        <v>#DIV/0!</v>
      </c>
      <c r="BQ26" s="300">
        <f>Юнг!C36</f>
        <v>0</v>
      </c>
      <c r="BR26" s="459">
        <f>Юнг!D36</f>
        <v>0</v>
      </c>
      <c r="BS26" s="300" t="e">
        <f t="shared" si="31"/>
        <v>#DIV/0!</v>
      </c>
      <c r="BT26" s="300"/>
      <c r="BU26" s="300"/>
      <c r="BV26" s="310" t="e">
        <f t="shared" si="32"/>
        <v>#DIV/0!</v>
      </c>
      <c r="BW26" s="310"/>
      <c r="BX26" s="310"/>
      <c r="BY26" s="310" t="e">
        <f t="shared" si="33"/>
        <v>#DIV/0!</v>
      </c>
      <c r="BZ26" s="308">
        <f t="shared" si="34"/>
        <v>5207.5140000000001</v>
      </c>
      <c r="CA26" s="308">
        <f t="shared" si="35"/>
        <v>5199.5950999999995</v>
      </c>
      <c r="CB26" s="300">
        <f t="shared" si="54"/>
        <v>99.847933198067238</v>
      </c>
      <c r="CC26" s="300">
        <f>Юнг!C41</f>
        <v>415.4</v>
      </c>
      <c r="CD26" s="300">
        <f>Юнг!D41</f>
        <v>380.77710000000002</v>
      </c>
      <c r="CE26" s="300">
        <f t="shared" si="36"/>
        <v>91.665166104959084</v>
      </c>
      <c r="CF26" s="300">
        <f>Юнг!C42</f>
        <v>0</v>
      </c>
      <c r="CG26" s="300">
        <f>Юнг!D42</f>
        <v>0</v>
      </c>
      <c r="CH26" s="300" t="e">
        <f t="shared" si="37"/>
        <v>#DIV/0!</v>
      </c>
      <c r="CI26" s="300">
        <f>Юнг!C43</f>
        <v>3686.98</v>
      </c>
      <c r="CJ26" s="300">
        <f>Юнг!D43</f>
        <v>3529.9259999999999</v>
      </c>
      <c r="CK26" s="300">
        <f t="shared" si="8"/>
        <v>95.740307785775897</v>
      </c>
      <c r="CL26" s="300">
        <f>Юнг!C44</f>
        <v>99.183999999999997</v>
      </c>
      <c r="CM26" s="300">
        <f>Юнг!D44</f>
        <v>90.341999999999999</v>
      </c>
      <c r="CN26" s="300">
        <f t="shared" si="9"/>
        <v>91.085255686401041</v>
      </c>
      <c r="CO26" s="471">
        <f>Юнг!C45</f>
        <v>1005.95</v>
      </c>
      <c r="CP26" s="300">
        <f>Юнг!D45</f>
        <v>1005.95</v>
      </c>
      <c r="CQ26" s="293">
        <f t="shared" si="38"/>
        <v>100</v>
      </c>
      <c r="CR26" s="311">
        <f>Юнг!C48</f>
        <v>0</v>
      </c>
      <c r="CS26" s="300">
        <f>Юнг!D48</f>
        <v>192.6</v>
      </c>
      <c r="CT26" s="300" t="e">
        <f t="shared" si="10"/>
        <v>#DIV/0!</v>
      </c>
      <c r="CU26" s="300"/>
      <c r="CV26" s="300">
        <f>Юнг!D47</f>
        <v>0</v>
      </c>
      <c r="CW26" s="300"/>
      <c r="CX26" s="308"/>
      <c r="CY26" s="308"/>
      <c r="CZ26" s="300" t="e">
        <f t="shared" si="39"/>
        <v>#DIV/0!</v>
      </c>
      <c r="DA26" s="300"/>
      <c r="DB26" s="300"/>
      <c r="DC26" s="300"/>
      <c r="DD26" s="300"/>
      <c r="DE26" s="300"/>
      <c r="DF26" s="300"/>
      <c r="DG26" s="302">
        <f t="shared" si="40"/>
        <v>9041.2058899999993</v>
      </c>
      <c r="DH26" s="302">
        <f t="shared" si="40"/>
        <v>8002.9378400000005</v>
      </c>
      <c r="DI26" s="300">
        <f t="shared" si="41"/>
        <v>88.516265831880105</v>
      </c>
      <c r="DJ26" s="308">
        <f t="shared" si="42"/>
        <v>1532.4279999999999</v>
      </c>
      <c r="DK26" s="308">
        <f t="shared" si="42"/>
        <v>1204.0875100000001</v>
      </c>
      <c r="DL26" s="300">
        <f t="shared" si="43"/>
        <v>78.573839031915369</v>
      </c>
      <c r="DM26" s="300">
        <f>Юнг!C57</f>
        <v>1474.8</v>
      </c>
      <c r="DN26" s="300">
        <f>Юнг!D57</f>
        <v>1167.0875100000001</v>
      </c>
      <c r="DO26" s="300">
        <f t="shared" si="44"/>
        <v>79.135307160292925</v>
      </c>
      <c r="DP26" s="300">
        <f>Юнг!C60</f>
        <v>30</v>
      </c>
      <c r="DQ26" s="300">
        <f>Юнг!D60</f>
        <v>30</v>
      </c>
      <c r="DR26" s="300">
        <f t="shared" si="45"/>
        <v>100</v>
      </c>
      <c r="DS26" s="300">
        <f>Юнг!C61</f>
        <v>5</v>
      </c>
      <c r="DT26" s="300">
        <f>Юнг!D61</f>
        <v>0</v>
      </c>
      <c r="DU26" s="300">
        <f t="shared" si="46"/>
        <v>0</v>
      </c>
      <c r="DV26" s="300">
        <f>Юнг!C62</f>
        <v>22.628</v>
      </c>
      <c r="DW26" s="300">
        <f>Юнг!D62</f>
        <v>7</v>
      </c>
      <c r="DX26" s="300">
        <f t="shared" si="47"/>
        <v>30.935124624359201</v>
      </c>
      <c r="DY26" s="300">
        <f>Юнг!C64</f>
        <v>99.183999999999997</v>
      </c>
      <c r="DZ26" s="300">
        <f>Юнг!D64</f>
        <v>61.895859999999999</v>
      </c>
      <c r="EA26" s="300">
        <f t="shared" si="48"/>
        <v>62.40508549766092</v>
      </c>
      <c r="EB26" s="300">
        <f>Юнг!C65</f>
        <v>61.57</v>
      </c>
      <c r="EC26" s="300">
        <f>Юнг!D65</f>
        <v>43.14725</v>
      </c>
      <c r="ED26" s="300">
        <f t="shared" si="49"/>
        <v>70.078366087380218</v>
      </c>
      <c r="EE26" s="308">
        <f>Юнг!C71</f>
        <v>1712.37789</v>
      </c>
      <c r="EF26" s="308">
        <f>Юнг!D71</f>
        <v>1459.1131300000002</v>
      </c>
      <c r="EG26" s="300">
        <f t="shared" si="50"/>
        <v>85.209762314789074</v>
      </c>
      <c r="EH26" s="308">
        <f>Юнг!C76</f>
        <v>4568.1459999999997</v>
      </c>
      <c r="EI26" s="308">
        <f>Юнг!D76</f>
        <v>4346.2940900000003</v>
      </c>
      <c r="EJ26" s="300">
        <f t="shared" si="51"/>
        <v>95.143502199798363</v>
      </c>
      <c r="EK26" s="308">
        <f>Юнг!C80</f>
        <v>1065.5</v>
      </c>
      <c r="EL26" s="312">
        <f>Юнг!D80</f>
        <v>886.4</v>
      </c>
      <c r="EM26" s="300">
        <f t="shared" si="11"/>
        <v>83.190990145471616</v>
      </c>
      <c r="EN26" s="300">
        <f>Юнг!C82</f>
        <v>0</v>
      </c>
      <c r="EO26" s="300">
        <f>Юнг!D82</f>
        <v>0</v>
      </c>
      <c r="EP26" s="300" t="e">
        <f t="shared" si="12"/>
        <v>#DIV/0!</v>
      </c>
      <c r="EQ26" s="313">
        <f>Юнг!C87</f>
        <v>2</v>
      </c>
      <c r="ER26" s="313">
        <f>Юнг!D87</f>
        <v>2</v>
      </c>
      <c r="ES26" s="300">
        <f t="shared" si="52"/>
        <v>100</v>
      </c>
      <c r="ET26" s="300">
        <f>Юнг!C93</f>
        <v>0</v>
      </c>
      <c r="EU26" s="300">
        <f>Юнг!D93</f>
        <v>0</v>
      </c>
      <c r="EV26" s="300" t="e">
        <f t="shared" si="53"/>
        <v>#DIV/0!</v>
      </c>
      <c r="EW26" s="323">
        <f t="shared" si="13"/>
        <v>-337.53988999999819</v>
      </c>
      <c r="EX26" s="323">
        <f t="shared" si="14"/>
        <v>579.51407999999901</v>
      </c>
      <c r="EY26" s="300">
        <f t="shared" si="55"/>
        <v>-171.68758335496349</v>
      </c>
      <c r="EZ26" s="250"/>
      <c r="FA26" s="251"/>
      <c r="FC26" s="251"/>
    </row>
    <row r="27" spans="1:170" s="162" customFormat="1" ht="25.5" customHeight="1">
      <c r="A27" s="335">
        <v>14</v>
      </c>
      <c r="B27" s="337" t="s">
        <v>302</v>
      </c>
      <c r="C27" s="291">
        <f t="shared" si="0"/>
        <v>12324.22637</v>
      </c>
      <c r="D27" s="292">
        <f t="shared" si="1"/>
        <v>8575.2322400000012</v>
      </c>
      <c r="E27" s="300">
        <f t="shared" si="2"/>
        <v>69.580288308190177</v>
      </c>
      <c r="F27" s="294">
        <f t="shared" si="3"/>
        <v>1509.43</v>
      </c>
      <c r="G27" s="294">
        <f t="shared" si="4"/>
        <v>1610.3299300000001</v>
      </c>
      <c r="H27" s="300">
        <f t="shared" si="15"/>
        <v>106.68463790967451</v>
      </c>
      <c r="I27" s="308">
        <f>Юсь!C6</f>
        <v>146.4</v>
      </c>
      <c r="J27" s="443">
        <f>Юсь!D6</f>
        <v>130.80641</v>
      </c>
      <c r="K27" s="300">
        <f t="shared" si="16"/>
        <v>89.348640710382512</v>
      </c>
      <c r="L27" s="300">
        <f>Юсь!C8</f>
        <v>206.65</v>
      </c>
      <c r="M27" s="300">
        <f>Юсь!D8</f>
        <v>222.60625999999999</v>
      </c>
      <c r="N27" s="293">
        <f t="shared" si="17"/>
        <v>107.72139366077909</v>
      </c>
      <c r="O27" s="293">
        <f>Юсь!C9</f>
        <v>2.2200000000000002</v>
      </c>
      <c r="P27" s="327">
        <f>Юсь!D9</f>
        <v>1.5970500000000001</v>
      </c>
      <c r="Q27" s="293">
        <f t="shared" si="18"/>
        <v>71.939189189189193</v>
      </c>
      <c r="R27" s="293">
        <f>Юсь!C10</f>
        <v>345.16</v>
      </c>
      <c r="S27" s="293">
        <f>Юсь!D10</f>
        <v>299.09976999999998</v>
      </c>
      <c r="T27" s="293">
        <f t="shared" si="19"/>
        <v>86.655397496813052</v>
      </c>
      <c r="U27" s="293">
        <f>Юсь!C11</f>
        <v>0</v>
      </c>
      <c r="V27" s="488">
        <f>Юсь!D11</f>
        <v>-40.095910000000003</v>
      </c>
      <c r="W27" s="293" t="e">
        <f t="shared" si="20"/>
        <v>#DIV/0!</v>
      </c>
      <c r="X27" s="308">
        <f>Юсь!C13</f>
        <v>5</v>
      </c>
      <c r="Y27" s="308">
        <f>Юсь!D13</f>
        <v>0</v>
      </c>
      <c r="Z27" s="300">
        <f t="shared" si="21"/>
        <v>0</v>
      </c>
      <c r="AA27" s="308">
        <f>Юсь!C15</f>
        <v>120</v>
      </c>
      <c r="AB27" s="299">
        <f>Юсь!D15</f>
        <v>98.911159999999995</v>
      </c>
      <c r="AC27" s="300">
        <f t="shared" si="22"/>
        <v>82.425966666666667</v>
      </c>
      <c r="AD27" s="308">
        <f>Юсь!C16</f>
        <v>312</v>
      </c>
      <c r="AE27" s="308">
        <f>Юсь!D16</f>
        <v>266.69479000000001</v>
      </c>
      <c r="AF27" s="300">
        <f t="shared" si="5"/>
        <v>85.479099358974366</v>
      </c>
      <c r="AG27" s="300">
        <f>Юсь!C18</f>
        <v>10</v>
      </c>
      <c r="AH27" s="300">
        <f>Юсь!D18</f>
        <v>3.1</v>
      </c>
      <c r="AI27" s="300">
        <f t="shared" si="23"/>
        <v>31</v>
      </c>
      <c r="AJ27" s="300"/>
      <c r="AK27" s="300"/>
      <c r="AL27" s="300" t="e">
        <f>AJ27/AK27*100</f>
        <v>#DIV/0!</v>
      </c>
      <c r="AM27" s="308">
        <v>0</v>
      </c>
      <c r="AN27" s="308">
        <v>0</v>
      </c>
      <c r="AO27" s="300" t="e">
        <f t="shared" si="7"/>
        <v>#DIV/0!</v>
      </c>
      <c r="AP27" s="308">
        <f>Юсь!C27</f>
        <v>0</v>
      </c>
      <c r="AQ27" s="309">
        <f>Юсь!D27</f>
        <v>0</v>
      </c>
      <c r="AR27" s="300" t="e">
        <f t="shared" si="24"/>
        <v>#DIV/0!</v>
      </c>
      <c r="AS27" s="302">
        <f>Юсь!C28</f>
        <v>55</v>
      </c>
      <c r="AT27" s="309">
        <f>Юсь!D28</f>
        <v>49.5</v>
      </c>
      <c r="AU27" s="300">
        <f t="shared" si="25"/>
        <v>90</v>
      </c>
      <c r="AV27" s="308"/>
      <c r="AW27" s="308"/>
      <c r="AX27" s="300" t="e">
        <f t="shared" si="26"/>
        <v>#DIV/0!</v>
      </c>
      <c r="AY27" s="300">
        <f>Юсь!C30</f>
        <v>100</v>
      </c>
      <c r="AZ27" s="303">
        <f>Юсь!D30</f>
        <v>365.02927</v>
      </c>
      <c r="BA27" s="300">
        <f t="shared" si="27"/>
        <v>365.02927</v>
      </c>
      <c r="BB27" s="300"/>
      <c r="BC27" s="300"/>
      <c r="BD27" s="300"/>
      <c r="BE27" s="300">
        <f>Юсь!C31</f>
        <v>207</v>
      </c>
      <c r="BF27" s="491">
        <f>Юсь!D31</f>
        <v>207.7</v>
      </c>
      <c r="BG27" s="300">
        <f t="shared" si="28"/>
        <v>100.33816425120771</v>
      </c>
      <c r="BH27" s="300"/>
      <c r="BI27" s="300"/>
      <c r="BJ27" s="300" t="e">
        <f t="shared" si="29"/>
        <v>#DIV/0!</v>
      </c>
      <c r="BK27" s="300"/>
      <c r="BL27" s="300"/>
      <c r="BM27" s="300"/>
      <c r="BN27" s="300"/>
      <c r="BO27" s="300">
        <f>SUM(Юсь!D34)</f>
        <v>5.3811299999999997</v>
      </c>
      <c r="BP27" s="293" t="e">
        <f t="shared" si="30"/>
        <v>#DIV/0!</v>
      </c>
      <c r="BQ27" s="300">
        <f>Юсь!C36</f>
        <v>0</v>
      </c>
      <c r="BR27" s="459">
        <f>Юсь!D36</f>
        <v>0</v>
      </c>
      <c r="BS27" s="300" t="e">
        <f t="shared" si="31"/>
        <v>#DIV/0!</v>
      </c>
      <c r="BT27" s="300"/>
      <c r="BU27" s="300"/>
      <c r="BV27" s="310" t="e">
        <f t="shared" si="32"/>
        <v>#DIV/0!</v>
      </c>
      <c r="BW27" s="310"/>
      <c r="BX27" s="310"/>
      <c r="BY27" s="310" t="e">
        <f t="shared" si="33"/>
        <v>#DIV/0!</v>
      </c>
      <c r="BZ27" s="298">
        <f t="shared" si="34"/>
        <v>10814.79637</v>
      </c>
      <c r="CA27" s="298">
        <f t="shared" si="35"/>
        <v>6964.9023100000004</v>
      </c>
      <c r="CB27" s="300">
        <f t="shared" si="54"/>
        <v>64.401603800146262</v>
      </c>
      <c r="CC27" s="300">
        <f>Юсь!C41</f>
        <v>3421</v>
      </c>
      <c r="CD27" s="300">
        <f>Юсь!D41</f>
        <v>3135.8580000000002</v>
      </c>
      <c r="CE27" s="300">
        <f t="shared" si="36"/>
        <v>91.664951768488763</v>
      </c>
      <c r="CF27" s="300">
        <f>Юсь!C42</f>
        <v>500</v>
      </c>
      <c r="CG27" s="300">
        <f>Юсь!D42</f>
        <v>500</v>
      </c>
      <c r="CH27" s="300">
        <f t="shared" si="37"/>
        <v>100</v>
      </c>
      <c r="CI27" s="300">
        <f>Юсь!C44</f>
        <v>5125.4301500000001</v>
      </c>
      <c r="CJ27" s="300">
        <f>Юсь!D44</f>
        <v>1848.36131</v>
      </c>
      <c r="CK27" s="300">
        <f t="shared" si="8"/>
        <v>36.062559744375797</v>
      </c>
      <c r="CL27" s="300">
        <f>Юсь!C45</f>
        <v>198.36600000000001</v>
      </c>
      <c r="CM27" s="300">
        <f>Юсь!D45</f>
        <v>180.68299999999999</v>
      </c>
      <c r="CN27" s="300">
        <f t="shared" si="9"/>
        <v>91.08566992327313</v>
      </c>
      <c r="CO27" s="471">
        <f>Юсь!C52</f>
        <v>1525.0002199999999</v>
      </c>
      <c r="CP27" s="300">
        <f>Юсь!D52</f>
        <v>1300</v>
      </c>
      <c r="CQ27" s="293">
        <f t="shared" si="38"/>
        <v>85.245889341576628</v>
      </c>
      <c r="CR27" s="311">
        <f>Юсь!C53</f>
        <v>45</v>
      </c>
      <c r="CS27" s="300">
        <f>Юсь!D53</f>
        <v>0</v>
      </c>
      <c r="CT27" s="300">
        <f t="shared" si="10"/>
        <v>0</v>
      </c>
      <c r="CU27" s="300"/>
      <c r="CV27" s="300"/>
      <c r="CW27" s="300"/>
      <c r="CX27" s="308"/>
      <c r="CY27" s="308"/>
      <c r="CZ27" s="300" t="e">
        <f t="shared" si="39"/>
        <v>#DIV/0!</v>
      </c>
      <c r="DA27" s="300"/>
      <c r="DB27" s="300"/>
      <c r="DC27" s="300"/>
      <c r="DD27" s="300"/>
      <c r="DE27" s="300"/>
      <c r="DF27" s="300"/>
      <c r="DG27" s="302">
        <f t="shared" si="40"/>
        <v>12749.97869</v>
      </c>
      <c r="DH27" s="302">
        <f t="shared" si="40"/>
        <v>8605.2080100000003</v>
      </c>
      <c r="DI27" s="300">
        <f t="shared" si="41"/>
        <v>67.491940333588119</v>
      </c>
      <c r="DJ27" s="308">
        <f t="shared" si="42"/>
        <v>1402.8620000000001</v>
      </c>
      <c r="DK27" s="308">
        <f t="shared" si="42"/>
        <v>1267.82664</v>
      </c>
      <c r="DL27" s="300">
        <f t="shared" si="43"/>
        <v>90.374294834417071</v>
      </c>
      <c r="DM27" s="300">
        <f>Юсь!C61</f>
        <v>1339.662</v>
      </c>
      <c r="DN27" s="300">
        <f>Юсь!D61</f>
        <v>1212.82664</v>
      </c>
      <c r="DO27" s="300">
        <f t="shared" si="44"/>
        <v>90.532286502117699</v>
      </c>
      <c r="DP27" s="300">
        <f>Юсь!C64</f>
        <v>34</v>
      </c>
      <c r="DQ27" s="300">
        <f>Юсь!D64</f>
        <v>34</v>
      </c>
      <c r="DR27" s="300">
        <f t="shared" si="45"/>
        <v>100</v>
      </c>
      <c r="DS27" s="300">
        <f>Юсь!C65</f>
        <v>5</v>
      </c>
      <c r="DT27" s="300">
        <f>Юсь!D65</f>
        <v>0</v>
      </c>
      <c r="DU27" s="300">
        <f t="shared" si="46"/>
        <v>0</v>
      </c>
      <c r="DV27" s="300">
        <f>Юсь!C66</f>
        <v>24.2</v>
      </c>
      <c r="DW27" s="300">
        <f>Юсь!D66</f>
        <v>21</v>
      </c>
      <c r="DX27" s="300">
        <f t="shared" si="47"/>
        <v>86.776859504132233</v>
      </c>
      <c r="DY27" s="300">
        <f>Юсь!C68</f>
        <v>198.36600000000001</v>
      </c>
      <c r="DZ27" s="300">
        <f>Юсь!D68</f>
        <v>162.37531999999999</v>
      </c>
      <c r="EA27" s="300">
        <f t="shared" si="48"/>
        <v>81.856427008660745</v>
      </c>
      <c r="EB27" s="300">
        <f>Юсь!C69</f>
        <v>12.821999999999999</v>
      </c>
      <c r="EC27" s="300">
        <f>Юсь!D69</f>
        <v>8.821909999999999</v>
      </c>
      <c r="ED27" s="300">
        <f t="shared" si="49"/>
        <v>68.80291686164405</v>
      </c>
      <c r="EE27" s="308">
        <f>Юсь!C75</f>
        <v>2221.0699499999996</v>
      </c>
      <c r="EF27" s="308">
        <f>Юсь!D75</f>
        <v>2088.17823</v>
      </c>
      <c r="EG27" s="300">
        <f t="shared" si="50"/>
        <v>94.016770160705661</v>
      </c>
      <c r="EH27" s="308">
        <f>Юсь!C80</f>
        <v>6533.3587399999997</v>
      </c>
      <c r="EI27" s="308">
        <f>Юсь!D80</f>
        <v>2992.9725800000001</v>
      </c>
      <c r="EJ27" s="300">
        <f t="shared" si="51"/>
        <v>45.810626648675353</v>
      </c>
      <c r="EK27" s="308">
        <f>Юсь!C84</f>
        <v>2379.5</v>
      </c>
      <c r="EL27" s="312">
        <f>Юсь!D84</f>
        <v>2085.0333300000002</v>
      </c>
      <c r="EM27" s="300">
        <f t="shared" si="11"/>
        <v>87.624851019121678</v>
      </c>
      <c r="EN27" s="300">
        <f>Юсь!C86</f>
        <v>0</v>
      </c>
      <c r="EO27" s="300">
        <f>Юсь!D86</f>
        <v>0</v>
      </c>
      <c r="EP27" s="300" t="e">
        <f t="shared" si="12"/>
        <v>#DIV/0!</v>
      </c>
      <c r="EQ27" s="313">
        <f>Юсь!C91</f>
        <v>2</v>
      </c>
      <c r="ER27" s="313">
        <f>Юсь!D91</f>
        <v>0</v>
      </c>
      <c r="ES27" s="300">
        <f t="shared" si="52"/>
        <v>0</v>
      </c>
      <c r="ET27" s="300">
        <f>Юсь!C97</f>
        <v>0</v>
      </c>
      <c r="EU27" s="300">
        <f>Юсь!D97</f>
        <v>0</v>
      </c>
      <c r="EV27" s="293" t="e">
        <f t="shared" si="53"/>
        <v>#DIV/0!</v>
      </c>
      <c r="EW27" s="307">
        <f t="shared" si="13"/>
        <v>-425.7523199999996</v>
      </c>
      <c r="EX27" s="307">
        <f t="shared" si="14"/>
        <v>-29.975769999999102</v>
      </c>
      <c r="EY27" s="293">
        <f t="shared" si="55"/>
        <v>7.0406592264721262</v>
      </c>
      <c r="EZ27" s="164"/>
      <c r="FA27" s="165"/>
      <c r="FC27" s="165"/>
    </row>
    <row r="28" spans="1:170" s="162" customFormat="1" ht="23.25" customHeight="1">
      <c r="A28" s="335">
        <v>15</v>
      </c>
      <c r="B28" s="337" t="s">
        <v>303</v>
      </c>
      <c r="C28" s="314">
        <f t="shared" si="0"/>
        <v>16914.710510000001</v>
      </c>
      <c r="D28" s="292">
        <f t="shared" si="1"/>
        <v>12047.7474</v>
      </c>
      <c r="E28" s="300">
        <f>D28/C28*100</f>
        <v>71.226447493011207</v>
      </c>
      <c r="F28" s="294">
        <f t="shared" si="3"/>
        <v>2640.96</v>
      </c>
      <c r="G28" s="294">
        <f t="shared" si="4"/>
        <v>2343.7738899999995</v>
      </c>
      <c r="H28" s="300">
        <f>G28/F28*100</f>
        <v>88.747042363382988</v>
      </c>
      <c r="I28" s="308">
        <f>Яра!C6</f>
        <v>164.5</v>
      </c>
      <c r="J28" s="443">
        <f>Яра!D6</f>
        <v>170.49780999999999</v>
      </c>
      <c r="K28" s="300">
        <f t="shared" si="16"/>
        <v>103.64608510638298</v>
      </c>
      <c r="L28" s="300">
        <f>Яра!C8</f>
        <v>319.45999999999998</v>
      </c>
      <c r="M28" s="300">
        <f>Яра!D8</f>
        <v>344.12070999999997</v>
      </c>
      <c r="N28" s="293">
        <f t="shared" si="17"/>
        <v>107.7194985287673</v>
      </c>
      <c r="O28" s="293">
        <f>Яра!C9</f>
        <v>3.43</v>
      </c>
      <c r="P28" s="327">
        <f>Яра!D9</f>
        <v>2.4688300000000001</v>
      </c>
      <c r="Q28" s="293">
        <f t="shared" si="18"/>
        <v>71.977551020408157</v>
      </c>
      <c r="R28" s="293">
        <f>Яра!C10</f>
        <v>533.57000000000005</v>
      </c>
      <c r="S28" s="293">
        <f>Яра!D10</f>
        <v>462.36984999999999</v>
      </c>
      <c r="T28" s="293">
        <f t="shared" si="19"/>
        <v>86.655893322338201</v>
      </c>
      <c r="U28" s="293">
        <f>Яра!C11</f>
        <v>0</v>
      </c>
      <c r="V28" s="488">
        <f>Яра!D11</f>
        <v>-61.983159999999998</v>
      </c>
      <c r="W28" s="293" t="e">
        <f t="shared" si="20"/>
        <v>#DIV/0!</v>
      </c>
      <c r="X28" s="308">
        <f>Яра!C13</f>
        <v>20</v>
      </c>
      <c r="Y28" s="308">
        <f>Яра!D13</f>
        <v>13.262040000000001</v>
      </c>
      <c r="Z28" s="300">
        <f t="shared" si="21"/>
        <v>66.310200000000009</v>
      </c>
      <c r="AA28" s="308">
        <f>Яра!C15</f>
        <v>245</v>
      </c>
      <c r="AB28" s="299">
        <f>Яра!D15</f>
        <v>185.42141000000001</v>
      </c>
      <c r="AC28" s="300">
        <f t="shared" si="22"/>
        <v>75.682208163265301</v>
      </c>
      <c r="AD28" s="308">
        <f>Яра!C16</f>
        <v>1250</v>
      </c>
      <c r="AE28" s="308">
        <f>Яра!D16</f>
        <v>1133.72552</v>
      </c>
      <c r="AF28" s="300">
        <f t="shared" si="5"/>
        <v>90.698041599999996</v>
      </c>
      <c r="AG28" s="300">
        <f>Яра!C18</f>
        <v>15</v>
      </c>
      <c r="AH28" s="300">
        <f>Яра!D18</f>
        <v>3.6</v>
      </c>
      <c r="AI28" s="300">
        <f t="shared" si="23"/>
        <v>24.000000000000004</v>
      </c>
      <c r="AJ28" s="300"/>
      <c r="AK28" s="300"/>
      <c r="AL28" s="300" t="e">
        <f>AJ28/AK28*100</f>
        <v>#DIV/0!</v>
      </c>
      <c r="AM28" s="308">
        <v>0</v>
      </c>
      <c r="AN28" s="308">
        <v>0</v>
      </c>
      <c r="AO28" s="300" t="e">
        <f t="shared" si="7"/>
        <v>#DIV/0!</v>
      </c>
      <c r="AP28" s="308">
        <f>Яра!C27</f>
        <v>90</v>
      </c>
      <c r="AQ28" s="309">
        <f>Яра!D27</f>
        <v>38.51829</v>
      </c>
      <c r="AR28" s="300">
        <f t="shared" si="24"/>
        <v>42.798099999999998</v>
      </c>
      <c r="AS28" s="302">
        <f>Яра!C28</f>
        <v>0</v>
      </c>
      <c r="AT28" s="309">
        <f>Яра!D28</f>
        <v>0</v>
      </c>
      <c r="AU28" s="300" t="e">
        <f t="shared" si="25"/>
        <v>#DIV/0!</v>
      </c>
      <c r="AV28" s="308"/>
      <c r="AW28" s="308"/>
      <c r="AX28" s="300" t="e">
        <f t="shared" si="26"/>
        <v>#DIV/0!</v>
      </c>
      <c r="AY28" s="300">
        <f>Яра!C31</f>
        <v>0</v>
      </c>
      <c r="AZ28" s="303">
        <f>Яра!D31</f>
        <v>51.772590000000001</v>
      </c>
      <c r="BA28" s="300" t="e">
        <f t="shared" si="27"/>
        <v>#DIV/0!</v>
      </c>
      <c r="BB28" s="300"/>
      <c r="BC28" s="300"/>
      <c r="BD28" s="300"/>
      <c r="BE28" s="300">
        <f>Яра!C34</f>
        <v>0</v>
      </c>
      <c r="BF28" s="491">
        <v>0</v>
      </c>
      <c r="BG28" s="300" t="e">
        <f t="shared" si="28"/>
        <v>#DIV/0!</v>
      </c>
      <c r="BH28" s="300"/>
      <c r="BI28" s="300"/>
      <c r="BJ28" s="300" t="e">
        <f t="shared" si="29"/>
        <v>#DIV/0!</v>
      </c>
      <c r="BK28" s="300"/>
      <c r="BL28" s="300"/>
      <c r="BM28" s="300"/>
      <c r="BN28" s="300">
        <f>Яра!C35</f>
        <v>0</v>
      </c>
      <c r="BO28" s="300">
        <f>Яра!D35</f>
        <v>0</v>
      </c>
      <c r="BP28" s="293" t="e">
        <f t="shared" si="30"/>
        <v>#DIV/0!</v>
      </c>
      <c r="BQ28" s="300">
        <f>Яра!C37</f>
        <v>0</v>
      </c>
      <c r="BR28" s="459">
        <f>Яра!D37</f>
        <v>0</v>
      </c>
      <c r="BS28" s="300" t="e">
        <f t="shared" si="31"/>
        <v>#DIV/0!</v>
      </c>
      <c r="BT28" s="300"/>
      <c r="BU28" s="300"/>
      <c r="BV28" s="310" t="e">
        <f t="shared" si="32"/>
        <v>#DIV/0!</v>
      </c>
      <c r="BW28" s="310"/>
      <c r="BX28" s="310"/>
      <c r="BY28" s="310" t="e">
        <f t="shared" si="33"/>
        <v>#DIV/0!</v>
      </c>
      <c r="BZ28" s="298">
        <f t="shared" si="34"/>
        <v>14273.75051</v>
      </c>
      <c r="CA28" s="298">
        <f t="shared" si="35"/>
        <v>9703.9735099999998</v>
      </c>
      <c r="CB28" s="300">
        <f t="shared" si="54"/>
        <v>67.984749370542275</v>
      </c>
      <c r="CC28" s="300">
        <f>Яра!C42</f>
        <v>2004.7</v>
      </c>
      <c r="CD28" s="300">
        <f>Яра!D42</f>
        <v>1837.605</v>
      </c>
      <c r="CE28" s="300">
        <f t="shared" si="36"/>
        <v>91.664837631565817</v>
      </c>
      <c r="CF28" s="300">
        <f>Яра!C43</f>
        <v>614</v>
      </c>
      <c r="CG28" s="300">
        <f>Яра!D43</f>
        <v>614</v>
      </c>
      <c r="CH28" s="300">
        <f t="shared" si="37"/>
        <v>100</v>
      </c>
      <c r="CI28" s="300">
        <f>Яра!C44</f>
        <v>2752.4889800000001</v>
      </c>
      <c r="CJ28" s="300">
        <f>Яра!D44</f>
        <v>980.46699999999998</v>
      </c>
      <c r="CK28" s="300">
        <f t="shared" si="8"/>
        <v>35.621105374961395</v>
      </c>
      <c r="CL28" s="300">
        <f>Яра!C45</f>
        <v>198.36600000000001</v>
      </c>
      <c r="CM28" s="300">
        <f>Яра!D45</f>
        <v>180.68299999999999</v>
      </c>
      <c r="CN28" s="300">
        <f t="shared" si="9"/>
        <v>91.08566992327313</v>
      </c>
      <c r="CO28" s="471">
        <f>Яра!C47</f>
        <v>8558.7859200000003</v>
      </c>
      <c r="CP28" s="300">
        <f>Яра!D47</f>
        <v>5827.3220000000001</v>
      </c>
      <c r="CQ28" s="293">
        <f t="shared" si="38"/>
        <v>68.085848325553172</v>
      </c>
      <c r="CR28" s="311">
        <f>Яра!C51</f>
        <v>145.40960999999999</v>
      </c>
      <c r="CS28" s="300">
        <f>Яра!D51</f>
        <v>263.89650999999998</v>
      </c>
      <c r="CT28" s="300">
        <f t="shared" si="10"/>
        <v>181.48491698726102</v>
      </c>
      <c r="CU28" s="300"/>
      <c r="CV28" s="300"/>
      <c r="CW28" s="300"/>
      <c r="CX28" s="308"/>
      <c r="CY28" s="308"/>
      <c r="CZ28" s="300" t="e">
        <f t="shared" si="39"/>
        <v>#DIV/0!</v>
      </c>
      <c r="DA28" s="300"/>
      <c r="DB28" s="300">
        <f>Яра!D46</f>
        <v>0</v>
      </c>
      <c r="DC28" s="300" t="e">
        <f>DB28/DA28</f>
        <v>#DIV/0!</v>
      </c>
      <c r="DD28" s="300"/>
      <c r="DE28" s="300"/>
      <c r="DF28" s="300"/>
      <c r="DG28" s="302">
        <f t="shared" si="40"/>
        <v>18319.605239999997</v>
      </c>
      <c r="DH28" s="302">
        <f t="shared" si="40"/>
        <v>12063.948120000001</v>
      </c>
      <c r="DI28" s="300">
        <f t="shared" si="41"/>
        <v>65.852664192015112</v>
      </c>
      <c r="DJ28" s="308">
        <f t="shared" si="42"/>
        <v>1574.202</v>
      </c>
      <c r="DK28" s="308">
        <f t="shared" si="42"/>
        <v>1203.4928600000001</v>
      </c>
      <c r="DL28" s="300">
        <f t="shared" si="43"/>
        <v>76.450980242688047</v>
      </c>
      <c r="DM28" s="300">
        <f>Яра!C59</f>
        <v>1526.1</v>
      </c>
      <c r="DN28" s="300">
        <f>Яра!D59</f>
        <v>1163.4928600000001</v>
      </c>
      <c r="DO28" s="300">
        <f t="shared" si="44"/>
        <v>76.239621256798387</v>
      </c>
      <c r="DP28" s="300">
        <f>Яра!C62</f>
        <v>39</v>
      </c>
      <c r="DQ28" s="300">
        <f>Яра!D62</f>
        <v>39</v>
      </c>
      <c r="DR28" s="300">
        <f t="shared" si="45"/>
        <v>100</v>
      </c>
      <c r="DS28" s="300">
        <f>Яра!C63</f>
        <v>5</v>
      </c>
      <c r="DT28" s="300">
        <f>Яра!D63</f>
        <v>0</v>
      </c>
      <c r="DU28" s="300">
        <f t="shared" si="46"/>
        <v>0</v>
      </c>
      <c r="DV28" s="300">
        <f>Яра!C64</f>
        <v>4.1020000000000003</v>
      </c>
      <c r="DW28" s="300">
        <f>Яра!D64</f>
        <v>1</v>
      </c>
      <c r="DX28" s="300">
        <f t="shared" si="47"/>
        <v>24.378352023403217</v>
      </c>
      <c r="DY28" s="300">
        <f>Яра!C66</f>
        <v>198.36600000000001</v>
      </c>
      <c r="DZ28" s="300">
        <f>Яра!D65</f>
        <v>163.1653</v>
      </c>
      <c r="EA28" s="300">
        <f t="shared" si="48"/>
        <v>82.254670659286361</v>
      </c>
      <c r="EB28" s="300">
        <f>Яра!C67</f>
        <v>29.68787</v>
      </c>
      <c r="EC28" s="300">
        <f>Яра!D67</f>
        <v>20.977869999999999</v>
      </c>
      <c r="ED28" s="300">
        <f t="shared" si="49"/>
        <v>70.661418282955296</v>
      </c>
      <c r="EE28" s="308">
        <f>Яра!C73</f>
        <v>4997.0712199999998</v>
      </c>
      <c r="EF28" s="308">
        <f>Яра!D73</f>
        <v>2427.1860699999997</v>
      </c>
      <c r="EG28" s="300">
        <f t="shared" si="50"/>
        <v>48.572172841675041</v>
      </c>
      <c r="EH28" s="308">
        <f>Яра!C78</f>
        <v>2647.5423499999997</v>
      </c>
      <c r="EI28" s="308">
        <f>Яра!D78</f>
        <v>1958.2260000000001</v>
      </c>
      <c r="EJ28" s="300">
        <f t="shared" si="51"/>
        <v>73.963916006858227</v>
      </c>
      <c r="EK28" s="308">
        <f>Яра!C82</f>
        <v>8853.2892300000003</v>
      </c>
      <c r="EL28" s="312">
        <f>Яра!D82</f>
        <v>6271.5050199999996</v>
      </c>
      <c r="EM28" s="300">
        <f t="shared" si="11"/>
        <v>70.838135489220875</v>
      </c>
      <c r="EN28" s="300">
        <f>Яра!C84</f>
        <v>0</v>
      </c>
      <c r="EO28" s="300">
        <f>Яра!D84</f>
        <v>0</v>
      </c>
      <c r="EP28" s="300" t="e">
        <f t="shared" si="12"/>
        <v>#DIV/0!</v>
      </c>
      <c r="EQ28" s="313">
        <f>Яра!C89</f>
        <v>19.446570000000001</v>
      </c>
      <c r="ER28" s="313">
        <f>Яра!D89</f>
        <v>19.395</v>
      </c>
      <c r="ES28" s="300">
        <f t="shared" si="52"/>
        <v>99.734811845996489</v>
      </c>
      <c r="ET28" s="300">
        <f>Яра!C95</f>
        <v>0</v>
      </c>
      <c r="EU28" s="300">
        <f>Яра!D95</f>
        <v>0</v>
      </c>
      <c r="EV28" s="293" t="e">
        <f t="shared" si="53"/>
        <v>#DIV/0!</v>
      </c>
      <c r="EW28" s="307">
        <f t="shared" si="13"/>
        <v>-1404.8947299999963</v>
      </c>
      <c r="EX28" s="307">
        <f t="shared" si="14"/>
        <v>-16.200720000000729</v>
      </c>
      <c r="EY28" s="293">
        <f t="shared" si="55"/>
        <v>1.1531625575960964</v>
      </c>
      <c r="EZ28" s="164"/>
      <c r="FA28" s="165"/>
      <c r="FC28" s="165"/>
    </row>
    <row r="29" spans="1:170" s="162" customFormat="1" ht="25.5" customHeight="1">
      <c r="A29" s="335">
        <v>16</v>
      </c>
      <c r="B29" s="336" t="s">
        <v>304</v>
      </c>
      <c r="C29" s="291">
        <f t="shared" si="0"/>
        <v>10888.67734</v>
      </c>
      <c r="D29" s="292">
        <f t="shared" si="1"/>
        <v>5492.5454</v>
      </c>
      <c r="E29" s="293">
        <f t="shared" si="2"/>
        <v>50.442723468560416</v>
      </c>
      <c r="F29" s="294">
        <f t="shared" si="3"/>
        <v>2485.6761099999999</v>
      </c>
      <c r="G29" s="294">
        <f t="shared" si="4"/>
        <v>1887.7605800000001</v>
      </c>
      <c r="H29" s="293">
        <f t="shared" si="15"/>
        <v>75.945557524789507</v>
      </c>
      <c r="I29" s="298">
        <f>Яро!C6</f>
        <v>111</v>
      </c>
      <c r="J29" s="443">
        <f>Яро!D6</f>
        <v>96.349059999999994</v>
      </c>
      <c r="K29" s="293">
        <f t="shared" si="16"/>
        <v>86.800954954954946</v>
      </c>
      <c r="L29" s="293">
        <f>Яро!C8</f>
        <v>183.91</v>
      </c>
      <c r="M29" s="293">
        <f>Яро!D8</f>
        <v>198.09911</v>
      </c>
      <c r="N29" s="293">
        <f t="shared" si="17"/>
        <v>107.715246588005</v>
      </c>
      <c r="O29" s="293">
        <f>Яро!C9</f>
        <v>1.97</v>
      </c>
      <c r="P29" s="327">
        <f>Яро!D9</f>
        <v>1.4212499999999999</v>
      </c>
      <c r="Q29" s="293">
        <f t="shared" si="18"/>
        <v>72.14467005076142</v>
      </c>
      <c r="R29" s="293">
        <f>Яро!C10</f>
        <v>307.16000000000003</v>
      </c>
      <c r="S29" s="293">
        <f>Яро!D10</f>
        <v>266.17137000000002</v>
      </c>
      <c r="T29" s="293">
        <f t="shared" si="19"/>
        <v>86.655609454356039</v>
      </c>
      <c r="U29" s="293">
        <f>Яро!C11</f>
        <v>0</v>
      </c>
      <c r="V29" s="488">
        <f>Яро!D11</f>
        <v>-35.681699999999999</v>
      </c>
      <c r="W29" s="293" t="e">
        <f t="shared" si="20"/>
        <v>#DIV/0!</v>
      </c>
      <c r="X29" s="298">
        <f>Яро!C13</f>
        <v>5</v>
      </c>
      <c r="Y29" s="298">
        <f>Яро!D13</f>
        <v>0.40439999999999998</v>
      </c>
      <c r="Z29" s="293">
        <f t="shared" si="21"/>
        <v>8.0879999999999992</v>
      </c>
      <c r="AA29" s="298">
        <f>Яро!C15</f>
        <v>470</v>
      </c>
      <c r="AB29" s="299">
        <f>Яро!D15</f>
        <v>136.7397</v>
      </c>
      <c r="AC29" s="293">
        <f t="shared" si="22"/>
        <v>29.093553191489363</v>
      </c>
      <c r="AD29" s="298">
        <f>Яро!C16</f>
        <v>1171.03611</v>
      </c>
      <c r="AE29" s="298">
        <f>Яро!D16</f>
        <v>866.77432999999996</v>
      </c>
      <c r="AF29" s="293">
        <f t="shared" si="5"/>
        <v>74.017728624952468</v>
      </c>
      <c r="AG29" s="293">
        <f>Яро!C18</f>
        <v>5</v>
      </c>
      <c r="AH29" s="293">
        <f>Яро!D18</f>
        <v>4</v>
      </c>
      <c r="AI29" s="293">
        <f t="shared" si="23"/>
        <v>80</v>
      </c>
      <c r="AJ29" s="293"/>
      <c r="AK29" s="293"/>
      <c r="AL29" s="293" t="e">
        <f>AJ29/AK29*100</f>
        <v>#DIV/0!</v>
      </c>
      <c r="AM29" s="298">
        <v>0</v>
      </c>
      <c r="AN29" s="298">
        <v>0</v>
      </c>
      <c r="AO29" s="293" t="e">
        <f t="shared" si="7"/>
        <v>#DIV/0!</v>
      </c>
      <c r="AP29" s="298">
        <f>Яро!C26</f>
        <v>230.6</v>
      </c>
      <c r="AQ29" s="301">
        <f>Яро!D27</f>
        <v>332.54374999999999</v>
      </c>
      <c r="AR29" s="293">
        <f t="shared" si="24"/>
        <v>144.20804423243712</v>
      </c>
      <c r="AS29" s="302">
        <v>0</v>
      </c>
      <c r="AT29" s="301">
        <f>Яро!D28</f>
        <v>0</v>
      </c>
      <c r="AU29" s="293" t="e">
        <f t="shared" si="25"/>
        <v>#DIV/0!</v>
      </c>
      <c r="AV29" s="298"/>
      <c r="AW29" s="298"/>
      <c r="AX29" s="293" t="e">
        <f t="shared" si="26"/>
        <v>#DIV/0!</v>
      </c>
      <c r="AY29" s="293"/>
      <c r="AZ29" s="303">
        <f>Яро!D29</f>
        <v>0</v>
      </c>
      <c r="BA29" s="293" t="e">
        <f t="shared" si="27"/>
        <v>#DIV/0!</v>
      </c>
      <c r="BB29" s="293"/>
      <c r="BC29" s="293"/>
      <c r="BD29" s="293"/>
      <c r="BE29" s="293">
        <f>Яро!C31</f>
        <v>0</v>
      </c>
      <c r="BF29" s="448">
        <f>Яро!D31</f>
        <v>4.42</v>
      </c>
      <c r="BG29" s="293" t="e">
        <f t="shared" si="28"/>
        <v>#DIV/0!</v>
      </c>
      <c r="BH29" s="293"/>
      <c r="BI29" s="293"/>
      <c r="BJ29" s="293" t="e">
        <f t="shared" si="29"/>
        <v>#DIV/0!</v>
      </c>
      <c r="BK29" s="293"/>
      <c r="BL29" s="293"/>
      <c r="BM29" s="293"/>
      <c r="BN29" s="293">
        <f>Яро!C34</f>
        <v>0</v>
      </c>
      <c r="BO29" s="293">
        <f>Яро!D34</f>
        <v>16.519310000000001</v>
      </c>
      <c r="BP29" s="293" t="e">
        <f t="shared" si="30"/>
        <v>#DIV/0!</v>
      </c>
      <c r="BQ29" s="293">
        <v>0</v>
      </c>
      <c r="BR29" s="458">
        <v>0</v>
      </c>
      <c r="BS29" s="293" t="e">
        <f t="shared" si="31"/>
        <v>#DIV/0!</v>
      </c>
      <c r="BT29" s="293"/>
      <c r="BU29" s="293"/>
      <c r="BV29" s="305" t="e">
        <f t="shared" si="32"/>
        <v>#DIV/0!</v>
      </c>
      <c r="BW29" s="305"/>
      <c r="BX29" s="305"/>
      <c r="BY29" s="305" t="e">
        <f t="shared" si="33"/>
        <v>#DIV/0!</v>
      </c>
      <c r="BZ29" s="298">
        <f t="shared" si="34"/>
        <v>8403.0012299999999</v>
      </c>
      <c r="CA29" s="298">
        <f t="shared" si="35"/>
        <v>3604.7848199999999</v>
      </c>
      <c r="CB29" s="293">
        <f t="shared" si="54"/>
        <v>42.898777726348136</v>
      </c>
      <c r="CC29" s="300">
        <f>Яро!C39</f>
        <v>730.1</v>
      </c>
      <c r="CD29" s="300">
        <f>Яро!D39</f>
        <v>669.25099999999998</v>
      </c>
      <c r="CE29" s="293">
        <f t="shared" si="36"/>
        <v>91.665662238049578</v>
      </c>
      <c r="CF29" s="293">
        <f>Яро!C40</f>
        <v>775.94466</v>
      </c>
      <c r="CG29" s="293">
        <f>Яро!D40</f>
        <v>386.73500000000001</v>
      </c>
      <c r="CH29" s="293">
        <f t="shared" si="37"/>
        <v>49.840538885853022</v>
      </c>
      <c r="CI29" s="293">
        <f>Яро!C41</f>
        <v>3859.1835999999998</v>
      </c>
      <c r="CJ29" s="293">
        <f>Яро!D41</f>
        <v>974.86800000000005</v>
      </c>
      <c r="CK29" s="293">
        <f t="shared" si="8"/>
        <v>25.260990433313413</v>
      </c>
      <c r="CL29" s="293">
        <f>Яро!C42</f>
        <v>99.183999999999997</v>
      </c>
      <c r="CM29" s="293">
        <f>Яро!D42</f>
        <v>90.341999999999999</v>
      </c>
      <c r="CN29" s="293">
        <f t="shared" si="9"/>
        <v>91.085255686401041</v>
      </c>
      <c r="CO29" s="304">
        <f>Яро!C44</f>
        <v>2250.0001499999998</v>
      </c>
      <c r="CP29" s="293">
        <f>Яро!D44</f>
        <v>825</v>
      </c>
      <c r="CQ29" s="293">
        <f t="shared" si="38"/>
        <v>36.666664222222387</v>
      </c>
      <c r="CR29" s="297">
        <f>Яро!C45</f>
        <v>688.58882000000006</v>
      </c>
      <c r="CS29" s="293">
        <f>Яро!D45</f>
        <v>658.58882000000006</v>
      </c>
      <c r="CT29" s="293">
        <f t="shared" si="10"/>
        <v>95.643263566201966</v>
      </c>
      <c r="CU29" s="293"/>
      <c r="CV29" s="293"/>
      <c r="CW29" s="293"/>
      <c r="CX29" s="298"/>
      <c r="CY29" s="298"/>
      <c r="CZ29" s="293" t="e">
        <f t="shared" si="39"/>
        <v>#DIV/0!</v>
      </c>
      <c r="DA29" s="293"/>
      <c r="DB29" s="293"/>
      <c r="DC29" s="293"/>
      <c r="DD29" s="293"/>
      <c r="DE29" s="293"/>
      <c r="DF29" s="293"/>
      <c r="DG29" s="302">
        <f t="shared" si="40"/>
        <v>11034.177439999999</v>
      </c>
      <c r="DH29" s="302">
        <f t="shared" si="40"/>
        <v>4214.9781999999996</v>
      </c>
      <c r="DI29" s="293">
        <f t="shared" si="41"/>
        <v>38.199296892945377</v>
      </c>
      <c r="DJ29" s="298">
        <f t="shared" si="42"/>
        <v>1365.1229999999998</v>
      </c>
      <c r="DK29" s="298">
        <f t="shared" si="42"/>
        <v>1109.7564600000001</v>
      </c>
      <c r="DL29" s="293">
        <f t="shared" si="43"/>
        <v>81.293514210807388</v>
      </c>
      <c r="DM29" s="293">
        <f>Яро!C55</f>
        <v>1333.1</v>
      </c>
      <c r="DN29" s="293">
        <f>Яро!D55</f>
        <v>1084.7564600000001</v>
      </c>
      <c r="DO29" s="293">
        <f t="shared" si="44"/>
        <v>81.370974420523595</v>
      </c>
      <c r="DP29" s="293">
        <f>Яро!C58</f>
        <v>24</v>
      </c>
      <c r="DQ29" s="293">
        <f>Яро!D58</f>
        <v>24</v>
      </c>
      <c r="DR29" s="293">
        <f t="shared" si="45"/>
        <v>100</v>
      </c>
      <c r="DS29" s="293">
        <f>Яро!C59</f>
        <v>5</v>
      </c>
      <c r="DT29" s="293">
        <f>Яро!D59</f>
        <v>0</v>
      </c>
      <c r="DU29" s="293">
        <f t="shared" si="46"/>
        <v>0</v>
      </c>
      <c r="DV29" s="293">
        <f>Яро!C60</f>
        <v>3.0230000000000001</v>
      </c>
      <c r="DW29" s="293">
        <f>Яро!D60</f>
        <v>1</v>
      </c>
      <c r="DX29" s="293">
        <f t="shared" si="47"/>
        <v>33.079722130334105</v>
      </c>
      <c r="DY29" s="293">
        <f>Яро!C61</f>
        <v>99.183999999999997</v>
      </c>
      <c r="DZ29" s="293">
        <f>Яро!D61</f>
        <v>67.422499999999999</v>
      </c>
      <c r="EA29" s="293">
        <f t="shared" si="48"/>
        <v>67.977193902242291</v>
      </c>
      <c r="EB29" s="293">
        <f>Яро!C63</f>
        <v>20.32</v>
      </c>
      <c r="EC29" s="293">
        <f>Яро!D63</f>
        <v>16.189599999999999</v>
      </c>
      <c r="ED29" s="293">
        <f t="shared" si="49"/>
        <v>79.673228346456682</v>
      </c>
      <c r="EE29" s="298">
        <f>Яро!C69</f>
        <v>3964.5612099999998</v>
      </c>
      <c r="EF29" s="298">
        <f>Яро!D69</f>
        <v>226.30199999999999</v>
      </c>
      <c r="EG29" s="293">
        <f t="shared" si="50"/>
        <v>5.7081222363067008</v>
      </c>
      <c r="EH29" s="298">
        <f>Яро!C74</f>
        <v>4290.7011899999998</v>
      </c>
      <c r="EI29" s="298">
        <f>Яро!D74</f>
        <v>2285.3208</v>
      </c>
      <c r="EJ29" s="293">
        <f t="shared" si="51"/>
        <v>53.262175546649992</v>
      </c>
      <c r="EK29" s="298">
        <f>Яро!C79</f>
        <v>1292.2880399999999</v>
      </c>
      <c r="EL29" s="306">
        <f>Яро!D78</f>
        <v>509.98683999999997</v>
      </c>
      <c r="EM29" s="293">
        <f t="shared" si="11"/>
        <v>39.463867513623356</v>
      </c>
      <c r="EN29" s="293">
        <f>Яро!C80</f>
        <v>0</v>
      </c>
      <c r="EO29" s="293">
        <f>Яро!D80</f>
        <v>0</v>
      </c>
      <c r="EP29" s="293" t="e">
        <f t="shared" si="12"/>
        <v>#DIV/0!</v>
      </c>
      <c r="EQ29" s="294">
        <f>Яро!C85</f>
        <v>2</v>
      </c>
      <c r="ER29" s="294">
        <f>Яро!D85</f>
        <v>0</v>
      </c>
      <c r="ES29" s="293">
        <f t="shared" si="52"/>
        <v>0</v>
      </c>
      <c r="ET29" s="293">
        <f>Яро!C91</f>
        <v>0</v>
      </c>
      <c r="EU29" s="293">
        <f>Яро!D91</f>
        <v>0</v>
      </c>
      <c r="EV29" s="293" t="e">
        <f t="shared" si="53"/>
        <v>#DIV/0!</v>
      </c>
      <c r="EW29" s="307">
        <f t="shared" si="13"/>
        <v>-145.50009999999929</v>
      </c>
      <c r="EX29" s="307">
        <f t="shared" si="14"/>
        <v>1277.5672000000004</v>
      </c>
      <c r="EY29" s="293">
        <f t="shared" si="55"/>
        <v>-878.05245494677081</v>
      </c>
      <c r="EZ29" s="164"/>
      <c r="FA29" s="165"/>
      <c r="FC29" s="165"/>
    </row>
    <row r="30" spans="1:170" s="162" customFormat="1" ht="17.25" customHeight="1">
      <c r="A30" s="342"/>
      <c r="B30" s="343"/>
      <c r="C30" s="324"/>
      <c r="D30" s="325"/>
      <c r="E30" s="293"/>
      <c r="F30" s="294"/>
      <c r="G30" s="298"/>
      <c r="H30" s="293"/>
      <c r="I30" s="298"/>
      <c r="J30" s="444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327"/>
      <c r="W30" s="293"/>
      <c r="X30" s="298"/>
      <c r="Y30" s="298"/>
      <c r="Z30" s="293"/>
      <c r="AA30" s="298"/>
      <c r="AB30" s="298"/>
      <c r="AC30" s="293"/>
      <c r="AD30" s="298"/>
      <c r="AE30" s="298"/>
      <c r="AF30" s="293"/>
      <c r="AG30" s="293"/>
      <c r="AH30" s="293"/>
      <c r="AI30" s="293"/>
      <c r="AJ30" s="293"/>
      <c r="AK30" s="293"/>
      <c r="AL30" s="293"/>
      <c r="AM30" s="298"/>
      <c r="AN30" s="298"/>
      <c r="AO30" s="293"/>
      <c r="AP30" s="298"/>
      <c r="AQ30" s="298"/>
      <c r="AR30" s="293"/>
      <c r="AS30" s="298"/>
      <c r="AT30" s="301"/>
      <c r="AU30" s="293"/>
      <c r="AV30" s="298"/>
      <c r="AW30" s="298"/>
      <c r="AX30" s="293"/>
      <c r="AY30" s="293"/>
      <c r="AZ30" s="303"/>
      <c r="BA30" s="293" t="e">
        <f t="shared" si="27"/>
        <v>#DIV/0!</v>
      </c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458"/>
      <c r="BS30" s="293"/>
      <c r="BT30" s="293"/>
      <c r="BU30" s="293"/>
      <c r="BV30" s="305"/>
      <c r="BW30" s="305"/>
      <c r="BX30" s="305"/>
      <c r="BY30" s="305"/>
      <c r="BZ30" s="298"/>
      <c r="CA30" s="298"/>
      <c r="CB30" s="293"/>
      <c r="CC30" s="293"/>
      <c r="CD30" s="293"/>
      <c r="CE30" s="293"/>
      <c r="CF30" s="293"/>
      <c r="CG30" s="293"/>
      <c r="CH30" s="448"/>
      <c r="CI30" s="293"/>
      <c r="CJ30" s="293"/>
      <c r="CK30" s="293"/>
      <c r="CL30" s="293"/>
      <c r="CM30" s="293"/>
      <c r="CN30" s="293"/>
      <c r="CO30" s="304"/>
      <c r="CP30" s="293"/>
      <c r="CQ30" s="293"/>
      <c r="CR30" s="327"/>
      <c r="CS30" s="293"/>
      <c r="CT30" s="293"/>
      <c r="CU30" s="293"/>
      <c r="CV30" s="293"/>
      <c r="CW30" s="293"/>
      <c r="CX30" s="298"/>
      <c r="CY30" s="298"/>
      <c r="CZ30" s="293"/>
      <c r="DA30" s="293"/>
      <c r="DB30" s="293"/>
      <c r="DC30" s="293"/>
      <c r="DD30" s="293"/>
      <c r="DE30" s="293"/>
      <c r="DF30" s="293"/>
      <c r="DG30" s="298"/>
      <c r="DH30" s="298"/>
      <c r="DI30" s="293"/>
      <c r="DJ30" s="298"/>
      <c r="DK30" s="326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304"/>
      <c r="EA30" s="293"/>
      <c r="EB30" s="293"/>
      <c r="EC30" s="293"/>
      <c r="ED30" s="293"/>
      <c r="EE30" s="298"/>
      <c r="EF30" s="298"/>
      <c r="EG30" s="293"/>
      <c r="EH30" s="298"/>
      <c r="EI30" s="298"/>
      <c r="EJ30" s="293"/>
      <c r="EK30" s="298"/>
      <c r="EL30" s="298"/>
      <c r="EM30" s="293"/>
      <c r="EN30" s="293"/>
      <c r="EO30" s="293"/>
      <c r="EP30" s="293"/>
      <c r="EQ30" s="294"/>
      <c r="ER30" s="294"/>
      <c r="ES30" s="293"/>
      <c r="ET30" s="293"/>
      <c r="EU30" s="293"/>
      <c r="EV30" s="293"/>
      <c r="EW30" s="307"/>
      <c r="EX30" s="307"/>
      <c r="EY30" s="293" t="e">
        <f t="shared" si="55"/>
        <v>#DIV/0!</v>
      </c>
      <c r="FA30" s="165"/>
      <c r="FC30" s="165"/>
    </row>
    <row r="31" spans="1:170" s="168" customFormat="1" ht="18.75">
      <c r="A31" s="532" t="s">
        <v>176</v>
      </c>
      <c r="B31" s="533"/>
      <c r="C31" s="328">
        <f>SUM(C14:C29)</f>
        <v>216986.72276999996</v>
      </c>
      <c r="D31" s="328">
        <f>SUM(D14:D29)</f>
        <v>141910.96781999999</v>
      </c>
      <c r="E31" s="329">
        <f>D31/C31*100</f>
        <v>65.400760935230934</v>
      </c>
      <c r="F31" s="330">
        <f>SUM(F14:F29)</f>
        <v>43278.567689999996</v>
      </c>
      <c r="G31" s="331">
        <f>SUM(G14:G29)</f>
        <v>38718.732099999994</v>
      </c>
      <c r="H31" s="329">
        <f>G31/F31*100</f>
        <v>89.463986833710294</v>
      </c>
      <c r="I31" s="331">
        <f>SUM(I14:I29)</f>
        <v>5778.5</v>
      </c>
      <c r="J31" s="445">
        <f>SUM(J14:J29)</f>
        <v>5160.5095599999986</v>
      </c>
      <c r="K31" s="329">
        <f>J31/I31*100</f>
        <v>89.305348446828731</v>
      </c>
      <c r="L31" s="329">
        <f>SUM(L14:L29)</f>
        <v>3471.43</v>
      </c>
      <c r="M31" s="329">
        <f>SUM(M14:M29)</f>
        <v>3739.3765100000005</v>
      </c>
      <c r="N31" s="329">
        <f>M31/L31*100</f>
        <v>107.71862056846892</v>
      </c>
      <c r="O31" s="329">
        <f>SUM(O14:O29)</f>
        <v>37.200000000000003</v>
      </c>
      <c r="P31" s="329">
        <f>SUM(P14:P29)</f>
        <v>26.827480000000005</v>
      </c>
      <c r="Q31" s="329">
        <f>P31/O31*100</f>
        <v>72.116881720430115</v>
      </c>
      <c r="R31" s="329">
        <f>SUM(R14:R29)</f>
        <v>5798.0699999999988</v>
      </c>
      <c r="S31" s="329">
        <f>SUM(S14:S29)</f>
        <v>5024.32755</v>
      </c>
      <c r="T31" s="329">
        <f>S31/R31*100</f>
        <v>86.655172324583887</v>
      </c>
      <c r="U31" s="329">
        <f>SUM(U14:U29)</f>
        <v>0</v>
      </c>
      <c r="V31" s="494">
        <f>SUM(V14:V29)</f>
        <v>-673.53760999999986</v>
      </c>
      <c r="W31" s="329" t="e">
        <f>V31/U31*100</f>
        <v>#DIV/0!</v>
      </c>
      <c r="X31" s="331">
        <f>SUM(X14:X29)</f>
        <v>604.01199999999994</v>
      </c>
      <c r="Y31" s="331">
        <f>SUM(Y14:Y29)</f>
        <v>646.55259999999998</v>
      </c>
      <c r="Z31" s="329">
        <f>Y31/X31*100</f>
        <v>107.04300576809733</v>
      </c>
      <c r="AA31" s="331">
        <f>SUM(AA14:AA29)</f>
        <v>5373</v>
      </c>
      <c r="AB31" s="331">
        <f>SUM(AB14:AB29)</f>
        <v>3959.1290100000001</v>
      </c>
      <c r="AC31" s="329">
        <f>AB31/AA31*100</f>
        <v>73.685632049134568</v>
      </c>
      <c r="AD31" s="331">
        <f>SUM(AD14:AD29)</f>
        <v>17810.808690000002</v>
      </c>
      <c r="AE31" s="331">
        <f>SUM(AE14:AE29)</f>
        <v>16052.831819999999</v>
      </c>
      <c r="AF31" s="329">
        <f>AE31/AD31*100</f>
        <v>90.129718977965155</v>
      </c>
      <c r="AG31" s="332">
        <f>SUM(AG14:AG29)</f>
        <v>116</v>
      </c>
      <c r="AH31" s="329">
        <f>SUM(AH14:AH29)</f>
        <v>58.010000000000005</v>
      </c>
      <c r="AI31" s="293">
        <f t="shared" si="23"/>
        <v>50.008620689655181</v>
      </c>
      <c r="AJ31" s="331">
        <f>AJ14+AJ15+AJ16+AJ17+AJ18+AJ19+AJ20+AJ21+AJ22+AJ23+AJ24+AJ25+AJ26+AJ27+AJ28+AJ29</f>
        <v>0</v>
      </c>
      <c r="AK31" s="331">
        <f>AK14+AK15+AK16+AK17+AK18+AK19+AK20+AK21+AK22+AK23+AK24+AK25+AK26+AK27+AK28+AK29</f>
        <v>0</v>
      </c>
      <c r="AL31" s="293" t="e">
        <f>AK31/AJ31*100</f>
        <v>#DIV/0!</v>
      </c>
      <c r="AM31" s="331">
        <f>SUM(AM14:AM29)</f>
        <v>0</v>
      </c>
      <c r="AN31" s="331">
        <f>SUM(AN14:AN29)</f>
        <v>0</v>
      </c>
      <c r="AO31" s="329" t="e">
        <f>AN31/AM31*100</f>
        <v>#DIV/0!</v>
      </c>
      <c r="AP31" s="331">
        <f>SUM(AP14:AP29)</f>
        <v>3049.7529999999997</v>
      </c>
      <c r="AQ31" s="331">
        <f>SUM(AQ14:AQ29)</f>
        <v>2923.73452</v>
      </c>
      <c r="AR31" s="329">
        <f>AQ31/AP31*100</f>
        <v>95.867911925982213</v>
      </c>
      <c r="AS31" s="331">
        <f>SUM(AS14:AS29)</f>
        <v>390.79999999999995</v>
      </c>
      <c r="AT31" s="331">
        <f>SUM(AT14:AT29)</f>
        <v>300.14787999999999</v>
      </c>
      <c r="AU31" s="329">
        <f>AT31/AS31*100</f>
        <v>76.803449334698058</v>
      </c>
      <c r="AV31" s="331">
        <f>SUM(AV14:AV29)</f>
        <v>0</v>
      </c>
      <c r="AW31" s="331">
        <f>SUM(AW14:AW29)</f>
        <v>0</v>
      </c>
      <c r="AX31" s="329" t="e">
        <f>AW31/AV31*100</f>
        <v>#DIV/0!</v>
      </c>
      <c r="AY31" s="329">
        <f>SUM(AY14:AY29)</f>
        <v>625</v>
      </c>
      <c r="AZ31" s="329">
        <f>SUM(AZ14:AZ29)</f>
        <v>681.49240000000009</v>
      </c>
      <c r="BA31" s="293">
        <f t="shared" si="27"/>
        <v>109.03878400000002</v>
      </c>
      <c r="BB31" s="293">
        <f>SUM(BB14:BB29)</f>
        <v>0</v>
      </c>
      <c r="BC31" s="293">
        <f>SUM(BC14:BC29)</f>
        <v>27.00844</v>
      </c>
      <c r="BD31" s="293" t="e">
        <f>BC31/BB31*100</f>
        <v>#DIV/0!</v>
      </c>
      <c r="BE31" s="330">
        <f>SUM(BE14:BE29)</f>
        <v>223.994</v>
      </c>
      <c r="BF31" s="331">
        <f>SUM(BF14:BF29)</f>
        <v>539.37350000000004</v>
      </c>
      <c r="BG31" s="331">
        <f t="shared" si="28"/>
        <v>240.79819102297387</v>
      </c>
      <c r="BH31" s="331">
        <f>SUM(BH14:BH29)</f>
        <v>0</v>
      </c>
      <c r="BI31" s="331">
        <f>SUM(BI14:BI29)</f>
        <v>0</v>
      </c>
      <c r="BJ31" s="329" t="e">
        <f>BI31/BH31*100</f>
        <v>#DIV/0!</v>
      </c>
      <c r="BK31" s="329">
        <f>SUM(BK14:BK29)</f>
        <v>0</v>
      </c>
      <c r="BL31" s="329">
        <f>BL15+BL27+BL28+BL19+BL22+BL26+BL18</f>
        <v>12.836869999999999</v>
      </c>
      <c r="BM31" s="329" t="e">
        <f>BL31/BK31*100</f>
        <v>#DIV/0!</v>
      </c>
      <c r="BN31" s="329">
        <f>BN14+BN15+BN16+BN17+BN18+BN19+BN20+BN21+BN22+BN23+BN24+BN25+BN26+BN27+BN28+BN29</f>
        <v>0</v>
      </c>
      <c r="BO31" s="329">
        <f>BO14+BO15+BO16+BO17+BO18+BO19+BO20+BO21+BO22+BO23+BO24+BO25+BO26+BO27+BO28+BO29</f>
        <v>284.26643999999999</v>
      </c>
      <c r="BP31" s="329" t="e">
        <f>BO31/BN31*100</f>
        <v>#DIV/0!</v>
      </c>
      <c r="BQ31" s="331">
        <f>SUM(BQ14:BQ29)</f>
        <v>0</v>
      </c>
      <c r="BR31" s="445">
        <f>SUM(BR14:BR29)</f>
        <v>-4.3095600000000003</v>
      </c>
      <c r="BS31" s="329" t="e">
        <f>BR31/BQ31*100</f>
        <v>#DIV/0!</v>
      </c>
      <c r="BT31" s="329">
        <f t="shared" ref="BT31:BY31" si="56">SUM(BT14:BT29)</f>
        <v>0</v>
      </c>
      <c r="BU31" s="329"/>
      <c r="BV31" s="329" t="e">
        <f t="shared" si="56"/>
        <v>#DIV/0!</v>
      </c>
      <c r="BW31" s="329">
        <f t="shared" si="56"/>
        <v>0</v>
      </c>
      <c r="BX31" s="329">
        <f t="shared" si="56"/>
        <v>0</v>
      </c>
      <c r="BY31" s="333" t="e">
        <f t="shared" si="56"/>
        <v>#DIV/0!</v>
      </c>
      <c r="BZ31" s="330">
        <f>SUM(BZ14:BZ29)</f>
        <v>173708.15508</v>
      </c>
      <c r="CA31" s="331">
        <f>SUM(CA14:CA29)</f>
        <v>103192.23572</v>
      </c>
      <c r="CB31" s="331">
        <f t="shared" si="54"/>
        <v>59.405521676558926</v>
      </c>
      <c r="CC31" s="331">
        <f>SUM(CC14:CC29)</f>
        <v>29508.000000000004</v>
      </c>
      <c r="CD31" s="331">
        <f>SUM(CD14:CD29)</f>
        <v>27048.543500000003</v>
      </c>
      <c r="CE31" s="331">
        <f>CD31/CC31*100</f>
        <v>91.665119628575297</v>
      </c>
      <c r="CF31" s="330">
        <f>SUM(CF14:CF29)</f>
        <v>8843.45766</v>
      </c>
      <c r="CG31" s="331">
        <f>SUM(CG14:CG29)</f>
        <v>6349.7349999999997</v>
      </c>
      <c r="CH31" s="331">
        <f>CG31/CF31*100</f>
        <v>71.801497153320454</v>
      </c>
      <c r="CI31" s="331">
        <f>SUM(CI14:CI29)</f>
        <v>80636.859690000012</v>
      </c>
      <c r="CJ31" s="331">
        <f>SUM(CJ14:CJ29)</f>
        <v>33263.831330000001</v>
      </c>
      <c r="CK31" s="331">
        <f>CJ31/CI31*100</f>
        <v>41.251397261598889</v>
      </c>
      <c r="CL31" s="331">
        <f>SUM(CL14:CL29)</f>
        <v>2449.4</v>
      </c>
      <c r="CM31" s="331">
        <f>SUM(CM14:CM29)</f>
        <v>2168.2000000000003</v>
      </c>
      <c r="CN31" s="331">
        <f t="shared" si="9"/>
        <v>88.51963746223565</v>
      </c>
      <c r="CO31" s="473">
        <f>SUM(CO14:CO29)</f>
        <v>48350.428430000007</v>
      </c>
      <c r="CP31" s="331">
        <f>SUM(CP14:CP29)</f>
        <v>30293.454740000001</v>
      </c>
      <c r="CQ31" s="331">
        <f>CP31/CO31*100</f>
        <v>62.653953074806282</v>
      </c>
      <c r="CR31" s="331">
        <f>SUM(CR14:CR29)</f>
        <v>3920.0093000000002</v>
      </c>
      <c r="CS31" s="331">
        <f>SUM(CS14:CS29)</f>
        <v>4068.4711499999994</v>
      </c>
      <c r="CT31" s="331">
        <f t="shared" si="10"/>
        <v>103.78728310670078</v>
      </c>
      <c r="CU31" s="331">
        <f>SUM(CU14:CU29)</f>
        <v>0</v>
      </c>
      <c r="CV31" s="331">
        <f>SUM(CV14:CV29)</f>
        <v>0</v>
      </c>
      <c r="CW31" s="331" t="e">
        <f>CV31/CU31*100</f>
        <v>#DIV/0!</v>
      </c>
      <c r="CX31" s="331">
        <f>SUM(CX14:CX29)</f>
        <v>0</v>
      </c>
      <c r="CY31" s="331">
        <f>SUM(CY14:CY29)</f>
        <v>0</v>
      </c>
      <c r="CZ31" s="329" t="e">
        <f>CY31/CX31*100</f>
        <v>#DIV/0!</v>
      </c>
      <c r="DA31" s="329">
        <f>DA14+DA15+DA16+DA17+DA18+DA19+DA20+DA21+DA22+DA23+DA24+DA25+DA26+DA27+DA28+DA29</f>
        <v>0</v>
      </c>
      <c r="DB31" s="329">
        <f>DB14+DB15+DB16+DB17+DB18+DB19+DB20+DB21+DB22+DB23+DB24+DB25+DB26+DB27+DB28+DB29</f>
        <v>0</v>
      </c>
      <c r="DC31" s="329" t="e">
        <f>DB31/DA31*100</f>
        <v>#DIV/0!</v>
      </c>
      <c r="DD31" s="329">
        <f>DD14+DD15+DD16+DD17+DD18+DD19+DD20+DD21+DD22+DD23+DD24+DD25+DD26+DD27+DD28+DD29</f>
        <v>0</v>
      </c>
      <c r="DE31" s="329">
        <f>DE14+DE15+DE16+DE17+DE18+DE19+DE20+DE21+DE22+DE23+DE24+DE25+DE26+DE27+DE28+DE29</f>
        <v>0</v>
      </c>
      <c r="DF31" s="329">
        <v>0</v>
      </c>
      <c r="DG31" s="330">
        <f>SUM(DG14:DG29)</f>
        <v>223754.48991999996</v>
      </c>
      <c r="DH31" s="330">
        <f>SUM(DH14:DH29)</f>
        <v>133976.10135000001</v>
      </c>
      <c r="DI31" s="329">
        <f>DH31/DG31*100</f>
        <v>59.876385675166176</v>
      </c>
      <c r="DJ31" s="330">
        <f>SUM(DJ14:DJ29)</f>
        <v>24114.922999999999</v>
      </c>
      <c r="DK31" s="330">
        <f>SUM(DK14:DK29)</f>
        <v>20508.522079999999</v>
      </c>
      <c r="DL31" s="329">
        <f>DK31/DJ31*100</f>
        <v>85.044941176051026</v>
      </c>
      <c r="DM31" s="331">
        <f>SUM(DM14:DM29)</f>
        <v>23120.461999999996</v>
      </c>
      <c r="DN31" s="330">
        <f>SUM(DN14:DN29)</f>
        <v>19732.005079999999</v>
      </c>
      <c r="DO31" s="329">
        <f>DN31/DM31*100</f>
        <v>85.344337323363177</v>
      </c>
      <c r="DP31" s="331">
        <f>SUM(DP14:DP29)</f>
        <v>559.51700000000005</v>
      </c>
      <c r="DQ31" s="331">
        <f>SUM(DQ14:DQ29)</f>
        <v>559.51700000000005</v>
      </c>
      <c r="DR31" s="329">
        <f>DQ31/DP31*100</f>
        <v>100</v>
      </c>
      <c r="DS31" s="334">
        <f>SUM(DS14:DS29)</f>
        <v>130</v>
      </c>
      <c r="DT31" s="329">
        <f>SUM(DT14:DT29)</f>
        <v>0</v>
      </c>
      <c r="DU31" s="329">
        <f>DT31/DS31*100</f>
        <v>0</v>
      </c>
      <c r="DV31" s="329">
        <f>SUM(DV14:DV29)</f>
        <v>304.94400000000002</v>
      </c>
      <c r="DW31" s="329">
        <f>SUM(DW14:DW29)</f>
        <v>217</v>
      </c>
      <c r="DX31" s="293">
        <f>DW31/DV31*100</f>
        <v>71.160606537593779</v>
      </c>
      <c r="DY31" s="329">
        <f>SUM(DY14:DY29)</f>
        <v>2380.4</v>
      </c>
      <c r="DZ31" s="334">
        <f>SUM(DZ14:DZ29)</f>
        <v>1822.46181</v>
      </c>
      <c r="EA31" s="331">
        <f t="shared" si="48"/>
        <v>76.561158208704413</v>
      </c>
      <c r="EB31" s="334">
        <f>SUM(EB14:EB29)</f>
        <v>240.80447000000001</v>
      </c>
      <c r="EC31" s="334">
        <f>SUM(EC14:EC29)</f>
        <v>149.55281000000002</v>
      </c>
      <c r="ED31" s="293">
        <f t="shared" si="49"/>
        <v>62.105495799143604</v>
      </c>
      <c r="EE31" s="331">
        <f>SUM(EE14:EE29)</f>
        <v>56209.928029999995</v>
      </c>
      <c r="EF31" s="330">
        <f>SUM(EF14:EF29)</f>
        <v>31854.93404</v>
      </c>
      <c r="EG31" s="329">
        <f>EF31/EE31*100</f>
        <v>56.671365996054277</v>
      </c>
      <c r="EH31" s="331">
        <f>SUM(EH14:EH29)</f>
        <v>91172.260119999992</v>
      </c>
      <c r="EI31" s="330">
        <f>SUM(EI14:EI29)</f>
        <v>49545.653670000007</v>
      </c>
      <c r="EJ31" s="329">
        <f>EI31/EH31*100</f>
        <v>54.342903866580173</v>
      </c>
      <c r="EK31" s="330">
        <f>SUM(EK14:EK29)</f>
        <v>49535.316730000006</v>
      </c>
      <c r="EL31" s="330">
        <f>SUM(EL14:EL29)</f>
        <v>30039.359940000002</v>
      </c>
      <c r="EM31" s="329">
        <f>EL31/EK31*100</f>
        <v>60.642309210889344</v>
      </c>
      <c r="EN31" s="330">
        <f>SUM(EN14:EN29)</f>
        <v>2</v>
      </c>
      <c r="EO31" s="330">
        <f>SUM(EO14:EO29)</f>
        <v>2</v>
      </c>
      <c r="EP31" s="329">
        <f>EO31/EN31*100</f>
        <v>100</v>
      </c>
      <c r="EQ31" s="331">
        <f>SUM(EQ14:EQ29)</f>
        <v>98.85757000000001</v>
      </c>
      <c r="ER31" s="331">
        <f>SUM(ER14:ER29)</f>
        <v>53.617000000000004</v>
      </c>
      <c r="ES31" s="329">
        <f>ER31/EQ31*100</f>
        <v>54.236615364913376</v>
      </c>
      <c r="ET31" s="329">
        <f>SUM(ET14:ET29)</f>
        <v>0</v>
      </c>
      <c r="EU31" s="332">
        <f>SUM(EU14:EU29)</f>
        <v>0</v>
      </c>
      <c r="EV31" s="293" t="e">
        <f>EU31/ET31*100</f>
        <v>#DIV/0!</v>
      </c>
      <c r="EW31" s="334">
        <f>SUM(EW14:EW29)</f>
        <v>-6767.7671499999906</v>
      </c>
      <c r="EX31" s="329">
        <f>SUM(EX14:EX29)</f>
        <v>7934.8664700000018</v>
      </c>
      <c r="EY31" s="293">
        <f>EX31/EW31*100</f>
        <v>-117.24496860090721</v>
      </c>
    </row>
    <row r="32" spans="1:170" s="170" customFormat="1" ht="27.75" customHeight="1">
      <c r="C32" s="169">
        <v>216986.72276999999</v>
      </c>
      <c r="D32" s="169">
        <v>141910.96781999999</v>
      </c>
      <c r="E32" s="169"/>
      <c r="F32" s="169">
        <v>43278.567690000003</v>
      </c>
      <c r="G32" s="169">
        <v>38718.732100000001</v>
      </c>
      <c r="H32" s="169"/>
      <c r="I32" s="169">
        <v>5778.5</v>
      </c>
      <c r="J32" s="169">
        <v>5160.5095600000004</v>
      </c>
      <c r="K32" s="169"/>
      <c r="L32" s="169">
        <v>3471.43</v>
      </c>
      <c r="M32" s="169">
        <v>3739.3765100000001</v>
      </c>
      <c r="N32" s="169"/>
      <c r="O32" s="169">
        <v>37.200000000000003</v>
      </c>
      <c r="P32" s="169">
        <v>26.827480000000001</v>
      </c>
      <c r="Q32" s="169"/>
      <c r="R32" s="169">
        <v>5798.07</v>
      </c>
      <c r="S32" s="169">
        <v>5024.32755</v>
      </c>
      <c r="T32" s="169"/>
      <c r="U32" s="169" t="e">
        <f>#REF!-U31</f>
        <v>#REF!</v>
      </c>
      <c r="V32" s="169">
        <v>-673.53760999999997</v>
      </c>
      <c r="W32" s="169"/>
      <c r="X32" s="169">
        <v>604.01199999999994</v>
      </c>
      <c r="Y32" s="169">
        <v>646.55259999999998</v>
      </c>
      <c r="Z32" s="169"/>
      <c r="AA32" s="169">
        <v>5373</v>
      </c>
      <c r="AB32" s="169">
        <v>3959.1290100000001</v>
      </c>
      <c r="AC32" s="169"/>
      <c r="AD32" s="169">
        <v>17810.808690000002</v>
      </c>
      <c r="AE32" s="169">
        <v>16052.831819999999</v>
      </c>
      <c r="AF32" s="169"/>
      <c r="AG32" s="169">
        <v>116</v>
      </c>
      <c r="AH32" s="169">
        <v>58.01</v>
      </c>
      <c r="AI32" s="169"/>
      <c r="AJ32" s="169" t="e">
        <f>#REF!-AJ31</f>
        <v>#REF!</v>
      </c>
      <c r="AK32" s="169" t="e">
        <f>#REF!-AK31</f>
        <v>#REF!</v>
      </c>
      <c r="AL32" s="169"/>
      <c r="AM32" s="169" t="e">
        <f>#REF!-AM31</f>
        <v>#REF!</v>
      </c>
      <c r="AN32" s="169" t="e">
        <f>#REF!-AN31</f>
        <v>#REF!</v>
      </c>
      <c r="AO32" s="169"/>
      <c r="AP32" s="169">
        <v>3049.7530000000002</v>
      </c>
      <c r="AQ32" s="169">
        <v>2923.73452</v>
      </c>
      <c r="AR32" s="169"/>
      <c r="AS32" s="169">
        <v>390.8</v>
      </c>
      <c r="AT32" s="169">
        <v>300.14787999999999</v>
      </c>
      <c r="AU32" s="169"/>
      <c r="AV32" s="169" t="e">
        <f>#REF!-AV31</f>
        <v>#REF!</v>
      </c>
      <c r="AW32" s="169" t="e">
        <f>#REF!-AW31</f>
        <v>#REF!</v>
      </c>
      <c r="AX32" s="169" t="e">
        <f>#REF!-AX31</f>
        <v>#REF!</v>
      </c>
      <c r="AY32" s="169">
        <v>625</v>
      </c>
      <c r="AZ32" s="169">
        <v>681.49239999999998</v>
      </c>
      <c r="BA32" s="169"/>
      <c r="BB32" s="169" t="e">
        <f>#REF!-BB31</f>
        <v>#REF!</v>
      </c>
      <c r="BC32" s="169" t="e">
        <f>#REF!-BC31</f>
        <v>#REF!</v>
      </c>
      <c r="BD32" s="169" t="e">
        <f>#REF!-BD31</f>
        <v>#REF!</v>
      </c>
      <c r="BE32" s="169">
        <v>223.994</v>
      </c>
      <c r="BF32" s="169">
        <v>539.37350000000004</v>
      </c>
      <c r="BG32" s="169"/>
      <c r="BH32" s="169" t="e">
        <f>#REF!-BH31</f>
        <v>#REF!</v>
      </c>
      <c r="BI32" s="169" t="e">
        <f>#REF!-BI31</f>
        <v>#REF!</v>
      </c>
      <c r="BJ32" s="169" t="e">
        <f>#REF!-BJ31</f>
        <v>#REF!</v>
      </c>
      <c r="BK32" s="169" t="e">
        <f>#REF!-BK31</f>
        <v>#REF!</v>
      </c>
      <c r="BL32" s="169" t="e">
        <f>#REF!-BL31</f>
        <v>#REF!</v>
      </c>
      <c r="BM32" s="169" t="e">
        <f>#REF!-BM31</f>
        <v>#REF!</v>
      </c>
      <c r="BN32" s="169">
        <v>0</v>
      </c>
      <c r="BO32" s="169">
        <v>284.26643999999999</v>
      </c>
      <c r="BP32" s="169"/>
      <c r="BQ32" s="169" t="e">
        <f>#REF!-BQ31</f>
        <v>#REF!</v>
      </c>
      <c r="BR32" s="169">
        <v>-4.3095600000000003</v>
      </c>
      <c r="BS32" s="169"/>
      <c r="BT32" s="169" t="e">
        <f>#REF!-BT31</f>
        <v>#REF!</v>
      </c>
      <c r="BU32" s="169" t="e">
        <f>#REF!-BU31</f>
        <v>#REF!</v>
      </c>
      <c r="BV32" s="169" t="e">
        <f>#REF!-BV31</f>
        <v>#REF!</v>
      </c>
      <c r="BW32" s="169" t="e">
        <f>#REF!-BW31</f>
        <v>#REF!</v>
      </c>
      <c r="BX32" s="169" t="e">
        <f>#REF!-BX31</f>
        <v>#REF!</v>
      </c>
      <c r="BY32" s="169" t="e">
        <f>#REF!-BY31</f>
        <v>#REF!</v>
      </c>
      <c r="BZ32" s="169">
        <v>173708.15508</v>
      </c>
      <c r="CA32" s="169">
        <v>103192.23572</v>
      </c>
      <c r="CB32" s="169"/>
      <c r="CC32" s="169">
        <v>29508</v>
      </c>
      <c r="CD32" s="169">
        <v>27048.5435</v>
      </c>
      <c r="CE32" s="169"/>
      <c r="CF32" s="169">
        <v>8843.45766</v>
      </c>
      <c r="CG32" s="169">
        <v>6349.7349999999997</v>
      </c>
      <c r="CH32" s="169"/>
      <c r="CI32" s="169">
        <v>80636.859689999997</v>
      </c>
      <c r="CJ32" s="169">
        <v>33263.831330000001</v>
      </c>
      <c r="CK32" s="169"/>
      <c r="CL32" s="169">
        <v>2449.4</v>
      </c>
      <c r="CM32" s="169">
        <v>2168.1999999999998</v>
      </c>
      <c r="CN32" s="169"/>
      <c r="CO32" s="169">
        <v>48350.42843</v>
      </c>
      <c r="CP32" s="169">
        <v>30293.454740000001</v>
      </c>
      <c r="CQ32" s="169"/>
      <c r="CR32" s="169">
        <v>3920.0093000000002</v>
      </c>
      <c r="CS32" s="169">
        <v>4068.4711499999999</v>
      </c>
      <c r="CT32" s="169"/>
      <c r="CU32" s="169" t="e">
        <f>#REF!-CU31</f>
        <v>#REF!</v>
      </c>
      <c r="CV32" s="169" t="e">
        <f>-(#REF!-CV31)</f>
        <v>#REF!</v>
      </c>
      <c r="CW32" s="169"/>
      <c r="CX32" s="169" t="e">
        <f>#REF!-CX31</f>
        <v>#REF!</v>
      </c>
      <c r="CY32" s="169" t="e">
        <f>#REF!-CY31</f>
        <v>#REF!</v>
      </c>
      <c r="CZ32" s="169" t="e">
        <f>#REF!-CZ31</f>
        <v>#REF!</v>
      </c>
      <c r="DA32" s="169" t="e">
        <f>#REF!-DA31</f>
        <v>#REF!</v>
      </c>
      <c r="DB32" s="169" t="e">
        <f>#REF!-DB31</f>
        <v>#REF!</v>
      </c>
      <c r="DC32" s="169" t="e">
        <f>#REF!-DC31</f>
        <v>#REF!</v>
      </c>
      <c r="DD32" s="169" t="e">
        <f>#REF!-DD31</f>
        <v>#REF!</v>
      </c>
      <c r="DE32" s="169" t="e">
        <f>#REF!-DE31</f>
        <v>#REF!</v>
      </c>
      <c r="DF32" s="169"/>
      <c r="DG32" s="169">
        <v>223754.48991999999</v>
      </c>
      <c r="DH32" s="169">
        <v>133976.10135000001</v>
      </c>
      <c r="DI32" s="169"/>
      <c r="DJ32" s="169">
        <v>24114.922999999999</v>
      </c>
      <c r="DK32" s="169">
        <v>20508.522079999999</v>
      </c>
      <c r="DL32" s="169"/>
      <c r="DM32" s="169">
        <v>23120.462</v>
      </c>
      <c r="DN32" s="169">
        <v>19732.005079999999</v>
      </c>
      <c r="DO32" s="169"/>
      <c r="DP32" s="169">
        <v>559.51700000000005</v>
      </c>
      <c r="DQ32" s="169">
        <v>559.51700000000005</v>
      </c>
      <c r="DR32" s="169"/>
      <c r="DS32" s="169">
        <v>130</v>
      </c>
      <c r="DT32" s="169" t="e">
        <f>#REF!-DT31</f>
        <v>#REF!</v>
      </c>
      <c r="DU32" s="169"/>
      <c r="DV32" s="169">
        <v>304.94400000000002</v>
      </c>
      <c r="DW32" s="169">
        <v>217</v>
      </c>
      <c r="DX32" s="169"/>
      <c r="DY32" s="169">
        <v>2380.4</v>
      </c>
      <c r="DZ32" s="169">
        <v>1822.46181</v>
      </c>
      <c r="EA32" s="169"/>
      <c r="EB32" s="169">
        <v>240.80447000000001</v>
      </c>
      <c r="EC32" s="169">
        <v>149.55280999999999</v>
      </c>
      <c r="ED32" s="169"/>
      <c r="EE32" s="169">
        <v>56209.928030000003</v>
      </c>
      <c r="EF32" s="169">
        <v>31854.93404</v>
      </c>
      <c r="EG32" s="169"/>
      <c r="EH32" s="169">
        <v>91172.260120000006</v>
      </c>
      <c r="EI32" s="169">
        <v>49545.65367</v>
      </c>
      <c r="EJ32" s="169"/>
      <c r="EK32" s="169">
        <v>49535.316729999999</v>
      </c>
      <c r="EL32" s="169">
        <v>30039.359939999998</v>
      </c>
      <c r="EM32" s="169"/>
      <c r="EN32" s="169">
        <v>2</v>
      </c>
      <c r="EO32" s="169">
        <v>2</v>
      </c>
      <c r="EP32" s="169"/>
      <c r="EQ32" s="169">
        <v>98.857569999999996</v>
      </c>
      <c r="ER32" s="169">
        <v>53.616999999999997</v>
      </c>
      <c r="ES32" s="169"/>
      <c r="ET32" s="169">
        <v>0</v>
      </c>
      <c r="EU32" s="169">
        <v>0</v>
      </c>
      <c r="EV32" s="169"/>
      <c r="EW32" s="169">
        <v>-6767.7671499999997</v>
      </c>
      <c r="EX32" s="169">
        <v>7934.8664699999999</v>
      </c>
    </row>
    <row r="33" spans="3:155">
      <c r="C33" s="169">
        <f>C32-C31</f>
        <v>0</v>
      </c>
      <c r="D33" s="169">
        <f>D32-D31</f>
        <v>0</v>
      </c>
      <c r="E33" s="169"/>
      <c r="F33" s="169">
        <f>F32-F31</f>
        <v>0</v>
      </c>
      <c r="G33" s="169">
        <f>G32-G31</f>
        <v>0</v>
      </c>
      <c r="H33" s="169"/>
      <c r="I33" s="169">
        <f>I32-I31</f>
        <v>0</v>
      </c>
      <c r="J33" s="169">
        <f>J32-J31</f>
        <v>0</v>
      </c>
      <c r="K33" s="169"/>
      <c r="L33" s="169">
        <f>L32-L31</f>
        <v>0</v>
      </c>
      <c r="M33" s="169">
        <f>M32-M31</f>
        <v>0</v>
      </c>
      <c r="N33" s="169"/>
      <c r="O33" s="169">
        <f>O32-O31</f>
        <v>0</v>
      </c>
      <c r="P33" s="169">
        <f>P32-P31</f>
        <v>0</v>
      </c>
      <c r="Q33" s="169"/>
      <c r="R33" s="169">
        <f>R32-R31</f>
        <v>0</v>
      </c>
      <c r="S33" s="169">
        <f>S32-S31</f>
        <v>0</v>
      </c>
      <c r="T33" s="169"/>
      <c r="U33" s="169" t="e">
        <f>U32-U31</f>
        <v>#REF!</v>
      </c>
      <c r="V33" s="169">
        <f>V32-V31</f>
        <v>0</v>
      </c>
      <c r="W33" s="169"/>
      <c r="X33" s="169">
        <f>X32-X31</f>
        <v>0</v>
      </c>
      <c r="Y33" s="169">
        <f>Y32-Y31</f>
        <v>0</v>
      </c>
      <c r="Z33" s="169"/>
      <c r="AA33" s="169">
        <f>AA32-AA31</f>
        <v>0</v>
      </c>
      <c r="AB33" s="169">
        <f>AB32-AB31</f>
        <v>0</v>
      </c>
      <c r="AC33" s="169"/>
      <c r="AD33" s="169">
        <f>AD32-AD31</f>
        <v>0</v>
      </c>
      <c r="AE33" s="169">
        <f>AE32-AE31</f>
        <v>0</v>
      </c>
      <c r="AF33" s="169"/>
      <c r="AG33" s="169">
        <f>AG32-AG31</f>
        <v>0</v>
      </c>
      <c r="AH33" s="169">
        <f>AH32-AH31</f>
        <v>0</v>
      </c>
      <c r="AI33" s="169"/>
      <c r="AJ33" s="169" t="e">
        <f t="shared" ref="AJ33:AQ33" si="57">AJ32-AJ31</f>
        <v>#REF!</v>
      </c>
      <c r="AK33" s="169" t="e">
        <f t="shared" si="57"/>
        <v>#REF!</v>
      </c>
      <c r="AL33" s="169" t="e">
        <f t="shared" si="57"/>
        <v>#DIV/0!</v>
      </c>
      <c r="AM33" s="169" t="e">
        <f t="shared" si="57"/>
        <v>#REF!</v>
      </c>
      <c r="AN33" s="169" t="e">
        <f t="shared" si="57"/>
        <v>#REF!</v>
      </c>
      <c r="AO33" s="169" t="e">
        <f t="shared" si="57"/>
        <v>#DIV/0!</v>
      </c>
      <c r="AP33" s="169">
        <f t="shared" si="57"/>
        <v>0</v>
      </c>
      <c r="AQ33" s="169">
        <f t="shared" si="57"/>
        <v>0</v>
      </c>
      <c r="AR33" s="169"/>
      <c r="AS33" s="169">
        <f>AS32-AS31</f>
        <v>0</v>
      </c>
      <c r="AT33" s="169">
        <f>AT32-AT31</f>
        <v>0</v>
      </c>
      <c r="AU33" s="169"/>
      <c r="AV33" s="169" t="e">
        <f>AV32-AV31</f>
        <v>#REF!</v>
      </c>
      <c r="AW33" s="169" t="e">
        <f>AW32-AW31</f>
        <v>#REF!</v>
      </c>
      <c r="AX33" s="169" t="e">
        <f>AX32-AX31</f>
        <v>#REF!</v>
      </c>
      <c r="AY33" s="169">
        <f>AY32-AY31</f>
        <v>0</v>
      </c>
      <c r="AZ33" s="169">
        <f>AZ32-AZ31</f>
        <v>0</v>
      </c>
      <c r="BA33" s="169"/>
      <c r="BB33" s="169" t="e">
        <f>BB32-BB31</f>
        <v>#REF!</v>
      </c>
      <c r="BC33" s="169" t="e">
        <f>BC32-BC31</f>
        <v>#REF!</v>
      </c>
      <c r="BD33" s="169" t="e">
        <f>BD32-BD31</f>
        <v>#REF!</v>
      </c>
      <c r="BE33" s="169">
        <f>BE32-BE31</f>
        <v>0</v>
      </c>
      <c r="BF33" s="169">
        <f>BF32-BF31</f>
        <v>0</v>
      </c>
      <c r="BG33" s="169"/>
      <c r="BH33" s="169" t="e">
        <f t="shared" ref="BH33:BO33" si="58">BH32-BH31</f>
        <v>#REF!</v>
      </c>
      <c r="BI33" s="169" t="e">
        <f t="shared" si="58"/>
        <v>#REF!</v>
      </c>
      <c r="BJ33" s="169" t="e">
        <f t="shared" si="58"/>
        <v>#REF!</v>
      </c>
      <c r="BK33" s="169" t="e">
        <f t="shared" si="58"/>
        <v>#REF!</v>
      </c>
      <c r="BL33" s="169" t="e">
        <f t="shared" si="58"/>
        <v>#REF!</v>
      </c>
      <c r="BM33" s="169" t="e">
        <f t="shared" si="58"/>
        <v>#REF!</v>
      </c>
      <c r="BN33" s="169">
        <f t="shared" si="58"/>
        <v>0</v>
      </c>
      <c r="BO33" s="169">
        <f t="shared" si="58"/>
        <v>0</v>
      </c>
      <c r="BP33" s="169"/>
      <c r="BQ33" s="169" t="e">
        <f>BQ32-BQ31</f>
        <v>#REF!</v>
      </c>
      <c r="BR33" s="169">
        <f>BR32-BR31</f>
        <v>0</v>
      </c>
      <c r="BS33" s="169"/>
      <c r="BT33" s="169" t="e">
        <f t="shared" ref="BT33:CA33" si="59">BT32-BT31</f>
        <v>#REF!</v>
      </c>
      <c r="BU33" s="169" t="e">
        <f t="shared" si="59"/>
        <v>#REF!</v>
      </c>
      <c r="BV33" s="169" t="e">
        <f t="shared" si="59"/>
        <v>#REF!</v>
      </c>
      <c r="BW33" s="169" t="e">
        <f t="shared" si="59"/>
        <v>#REF!</v>
      </c>
      <c r="BX33" s="169" t="e">
        <f t="shared" si="59"/>
        <v>#REF!</v>
      </c>
      <c r="BY33" s="169" t="e">
        <f t="shared" si="59"/>
        <v>#REF!</v>
      </c>
      <c r="BZ33" s="169">
        <f t="shared" si="59"/>
        <v>0</v>
      </c>
      <c r="CA33" s="169">
        <f t="shared" si="59"/>
        <v>0</v>
      </c>
      <c r="CB33" s="169"/>
      <c r="CC33" s="169">
        <f>CC32-CC31</f>
        <v>0</v>
      </c>
      <c r="CD33" s="169">
        <f>CD32-CD31</f>
        <v>0</v>
      </c>
      <c r="CE33" s="169"/>
      <c r="CF33" s="169">
        <f>CF32-CF31</f>
        <v>0</v>
      </c>
      <c r="CG33" s="169">
        <f>CG32-CG31</f>
        <v>0</v>
      </c>
      <c r="CH33" s="169"/>
      <c r="CI33" s="169">
        <f>CI32-CI31</f>
        <v>0</v>
      </c>
      <c r="CJ33" s="169">
        <f>CJ32-CJ31</f>
        <v>0</v>
      </c>
      <c r="CK33" s="169"/>
      <c r="CL33" s="169">
        <f>CL32-CL31</f>
        <v>0</v>
      </c>
      <c r="CM33" s="169">
        <f>CM32-CM31</f>
        <v>0</v>
      </c>
      <c r="CN33" s="169"/>
      <c r="CO33" s="169">
        <f>CO32-CO31</f>
        <v>0</v>
      </c>
      <c r="CP33" s="169">
        <f>CP32-CP31</f>
        <v>0</v>
      </c>
      <c r="CQ33" s="169"/>
      <c r="CR33" s="169">
        <f>CR32-CR31</f>
        <v>0</v>
      </c>
      <c r="CS33" s="169">
        <f>CS32-CS31</f>
        <v>0</v>
      </c>
      <c r="CT33" s="169"/>
      <c r="CU33" s="169" t="e">
        <f>CU32-CU31</f>
        <v>#REF!</v>
      </c>
      <c r="CV33" s="169" t="e">
        <f>CV32-CV31</f>
        <v>#REF!</v>
      </c>
      <c r="CW33" s="169"/>
      <c r="CX33" s="169" t="e">
        <f t="shared" ref="CX33:DH33" si="60">CX32-CX31</f>
        <v>#REF!</v>
      </c>
      <c r="CY33" s="169" t="e">
        <f t="shared" si="60"/>
        <v>#REF!</v>
      </c>
      <c r="CZ33" s="169" t="e">
        <f t="shared" si="60"/>
        <v>#REF!</v>
      </c>
      <c r="DA33" s="169" t="e">
        <f t="shared" si="60"/>
        <v>#REF!</v>
      </c>
      <c r="DB33" s="169" t="e">
        <f t="shared" si="60"/>
        <v>#REF!</v>
      </c>
      <c r="DC33" s="169" t="e">
        <f t="shared" si="60"/>
        <v>#REF!</v>
      </c>
      <c r="DD33" s="169" t="e">
        <f t="shared" si="60"/>
        <v>#REF!</v>
      </c>
      <c r="DE33" s="169" t="e">
        <f t="shared" si="60"/>
        <v>#REF!</v>
      </c>
      <c r="DF33" s="169">
        <f t="shared" si="60"/>
        <v>0</v>
      </c>
      <c r="DG33" s="169">
        <f t="shared" si="60"/>
        <v>0</v>
      </c>
      <c r="DH33" s="169">
        <f t="shared" si="60"/>
        <v>0</v>
      </c>
      <c r="DI33" s="169"/>
      <c r="DJ33" s="169">
        <f>DJ32-DJ31</f>
        <v>0</v>
      </c>
      <c r="DK33" s="169">
        <f>DK32-DK31</f>
        <v>0</v>
      </c>
      <c r="DL33" s="169"/>
      <c r="DM33" s="169">
        <f>DM32-DM31</f>
        <v>0</v>
      </c>
      <c r="DN33" s="169">
        <f>DN32-DN31</f>
        <v>0</v>
      </c>
      <c r="DO33" s="169"/>
      <c r="DP33" s="169">
        <f>DP32-DP31</f>
        <v>0</v>
      </c>
      <c r="DQ33" s="169">
        <f>DQ32-DQ31</f>
        <v>0</v>
      </c>
      <c r="DR33" s="169"/>
      <c r="DS33" s="169">
        <f>DS32-DS31</f>
        <v>0</v>
      </c>
      <c r="DT33" s="169" t="e">
        <f>DT32-DT31</f>
        <v>#REF!</v>
      </c>
      <c r="DU33" s="169"/>
      <c r="DV33" s="169">
        <f>DV32-DV31</f>
        <v>0</v>
      </c>
      <c r="DW33" s="169">
        <f>DW32-DW31</f>
        <v>0</v>
      </c>
      <c r="DX33" s="169"/>
      <c r="DY33" s="169">
        <f>DY32-DY31</f>
        <v>0</v>
      </c>
      <c r="DZ33" s="169">
        <f>DZ32-DZ31</f>
        <v>0</v>
      </c>
      <c r="EA33" s="169"/>
      <c r="EB33" s="169">
        <f>EB32-EB31</f>
        <v>0</v>
      </c>
      <c r="EC33" s="169">
        <f>EC32-EC31</f>
        <v>0</v>
      </c>
      <c r="ED33" s="169"/>
      <c r="EE33" s="169">
        <f>EE32-EE31</f>
        <v>0</v>
      </c>
      <c r="EF33" s="169">
        <f>EF32-EF31</f>
        <v>0</v>
      </c>
      <c r="EG33" s="169"/>
      <c r="EH33" s="169">
        <f>EH32-EH31</f>
        <v>0</v>
      </c>
      <c r="EI33" s="169">
        <f>EI32-EI31</f>
        <v>0</v>
      </c>
      <c r="EJ33" s="169"/>
      <c r="EK33" s="169">
        <f>EK32-EK31</f>
        <v>0</v>
      </c>
      <c r="EL33" s="169">
        <f>EL32-EL31</f>
        <v>0</v>
      </c>
      <c r="EM33" s="169"/>
      <c r="EN33" s="169">
        <f>EN32-EN31</f>
        <v>0</v>
      </c>
      <c r="EO33" s="169">
        <f>EO32-EO31</f>
        <v>0</v>
      </c>
      <c r="EP33" s="169"/>
      <c r="EQ33" s="169">
        <f>EQ32-EQ31</f>
        <v>0</v>
      </c>
      <c r="ER33" s="169">
        <f>ER32-ER31</f>
        <v>0</v>
      </c>
      <c r="ES33" s="169"/>
      <c r="ET33" s="169">
        <f>ET32-ET31</f>
        <v>0</v>
      </c>
      <c r="EU33" s="169">
        <f>EU32-EU31</f>
        <v>0</v>
      </c>
      <c r="EV33" s="169"/>
      <c r="EW33" s="169">
        <f>EW32-EW31</f>
        <v>-9.0949470177292824E-12</v>
      </c>
      <c r="EX33" s="169">
        <f>EX32-EX31</f>
        <v>0</v>
      </c>
      <c r="EY33" s="171"/>
    </row>
  </sheetData>
  <customSheetViews>
    <customSheetView guid="{5BFCA170-DEAE-4D2C-98A0-1E68B427AC01}" scale="75" showPageBreaks="1" printArea="1" hiddenColumns="1" view="pageBreakPreview" topLeftCell="A10">
      <pane xSplit="2" ySplit="4" topLeftCell="C14" activePane="bottomRight" state="frozen"/>
      <selection pane="bottomRight" activeCell="EL30" sqref="EL30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1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5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6"/>
    </customSheetView>
    <customSheetView guid="{B30CE22D-C12F-4E12-8BB9-3AAE0A6991CC}" scale="75" showPageBreaks="1" fitToPage="1" printArea="1" hiddenColumns="1" view="pageBreakPreview" topLeftCell="H10">
      <selection activeCell="X12" sqref="X1:Y1048576"/>
      <colBreaks count="6" manualBreakCount="6">
        <brk id="17" max="30" man="1"/>
        <brk id="35" max="13" man="1"/>
        <brk id="59" max="13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4" fitToWidth="7" orientation="landscape" r:id="rId7"/>
    </customSheetView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61528DAC-5C4C-48F4-ADE2-8A724B05A086}" scale="70" showPageBreaks="1" printArea="1" hiddenColumns="1" view="pageBreakPreview" topLeftCell="A7">
      <selection activeCell="CG29" sqref="CG29"/>
      <pageMargins left="0.70866141732283472" right="0.19685039370078741" top="0.27559055118110237" bottom="0.31496062992125984" header="0.31496062992125984" footer="0.31496062992125984"/>
      <pageSetup paperSize="9" scale="60" fitToWidth="11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4" type="noConversion"/>
  <pageMargins left="0.70866141732283472" right="0.19685039370078741" top="0.27559055118110237" bottom="0.31496062992125984" header="0.31496062992125984" footer="0.31496062992125984"/>
  <pageSetup paperSize="9" scale="60" fitToWidth="11" orientation="landscape" r:id="rId10"/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340</v>
      </c>
      <c r="AO1" t="s">
        <v>341</v>
      </c>
      <c r="AP1" t="s">
        <v>342</v>
      </c>
      <c r="AS1" t="s">
        <v>343</v>
      </c>
      <c r="AW1">
        <v>187.4</v>
      </c>
      <c r="AX1" t="s">
        <v>344</v>
      </c>
      <c r="AY1" t="s">
        <v>345</v>
      </c>
    </row>
    <row r="2" spans="32:51">
      <c r="AF2" t="s">
        <v>346</v>
      </c>
      <c r="AJ2" t="s">
        <v>347</v>
      </c>
    </row>
    <row r="3" spans="32:51">
      <c r="AF3" t="s">
        <v>349</v>
      </c>
      <c r="AH3" t="s">
        <v>348</v>
      </c>
      <c r="AJ3" t="s">
        <v>349</v>
      </c>
      <c r="AN3" t="s">
        <v>348</v>
      </c>
      <c r="AO3" t="s">
        <v>348</v>
      </c>
      <c r="AP3" t="s">
        <v>348</v>
      </c>
      <c r="AS3" t="s">
        <v>350</v>
      </c>
      <c r="AT3" t="s">
        <v>351</v>
      </c>
      <c r="AU3" t="s">
        <v>352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353</v>
      </c>
      <c r="AU4" t="s">
        <v>354</v>
      </c>
      <c r="AV4" t="s">
        <v>355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356</v>
      </c>
      <c r="AU5" t="s">
        <v>354</v>
      </c>
      <c r="AV5" t="s">
        <v>357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358</v>
      </c>
      <c r="AU6" t="s">
        <v>354</v>
      </c>
      <c r="AV6" t="s">
        <v>357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359</v>
      </c>
      <c r="AU7" t="s">
        <v>354</v>
      </c>
      <c r="AV7" t="s">
        <v>360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361</v>
      </c>
      <c r="AU8" t="s">
        <v>354</v>
      </c>
      <c r="AV8" t="s">
        <v>362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363</v>
      </c>
      <c r="AU9" t="s">
        <v>354</v>
      </c>
      <c r="AV9" t="s">
        <v>364</v>
      </c>
      <c r="AW9" t="s">
        <v>365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366</v>
      </c>
      <c r="AU10" t="s">
        <v>354</v>
      </c>
      <c r="AV10" t="s">
        <v>367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368</v>
      </c>
      <c r="AU11" t="s">
        <v>354</v>
      </c>
      <c r="AV11" t="s">
        <v>369</v>
      </c>
      <c r="AW11" t="s">
        <v>365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370</v>
      </c>
      <c r="AU12" t="s">
        <v>354</v>
      </c>
      <c r="AV12" t="s">
        <v>371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372</v>
      </c>
      <c r="AU13" t="s">
        <v>354</v>
      </c>
      <c r="AV13" t="s">
        <v>373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374</v>
      </c>
      <c r="AU14" t="s">
        <v>354</v>
      </c>
      <c r="AV14" t="s">
        <v>360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375</v>
      </c>
      <c r="AU15" t="s">
        <v>354</v>
      </c>
      <c r="AV15" t="s">
        <v>376</v>
      </c>
      <c r="AW15" t="s">
        <v>377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378</v>
      </c>
      <c r="AU16" t="s">
        <v>354</v>
      </c>
      <c r="AV16" t="s">
        <v>357</v>
      </c>
      <c r="AW16" t="s">
        <v>379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380</v>
      </c>
      <c r="AU17" t="s">
        <v>354</v>
      </c>
      <c r="AV17" t="s">
        <v>381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382</v>
      </c>
      <c r="AU18" t="s">
        <v>354</v>
      </c>
      <c r="AV18" t="s">
        <v>357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383</v>
      </c>
      <c r="AU19" t="s">
        <v>384</v>
      </c>
      <c r="AV19" t="s">
        <v>367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385</v>
      </c>
      <c r="AY20" t="s">
        <v>386</v>
      </c>
    </row>
    <row r="82" hidden="1"/>
    <row r="83" hidden="1"/>
    <row r="84" hidden="1"/>
  </sheetData>
  <customSheetViews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1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7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</customSheetViews>
  <pageMargins left="0.7" right="0.7" top="0.75" bottom="0.75" header="0.3" footer="0.3"/>
  <pageSetup paperSize="9" orientation="portrait" verticalDpi="0"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3"/>
    </customSheetView>
    <customSheetView guid="{1718F1EE-9F48-4DBE-9531-3B70F9C4A5DD}" state="hidden" topLeftCell="A16">
      <pageMargins left="0.7" right="0.7" top="0.75" bottom="0.75" header="0.3" footer="0.3"/>
    </customSheetView>
    <customSheetView guid="{61528DAC-5C4C-48F4-ADE2-8A724B05A086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B30CE22D-C12F-4E12-8BB9-3AAE0A6991CC}" showPageBreaks="1" state="hidden">
      <selection activeCell="L38" sqref="L38"/>
      <pageMargins left="0.7" right="0.7" top="0.75" bottom="0.75" header="0.3" footer="0.3"/>
      <pageSetup paperSize="9" orientation="portrait" r:id="rId2"/>
    </customSheetView>
    <customSheetView guid="{1718F1EE-9F48-4DBE-9531-3B70F9C4A5DD}">
      <selection activeCell="F23" sqref="F23"/>
      <pageMargins left="0.7" right="0.7" top="0.75" bottom="0.75" header="0.3" footer="0.3"/>
    </customSheetView>
    <customSheetView guid="{61528DAC-5C4C-48F4-ADE2-8A724B05A086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37" sqref="Q37"/>
    </sheetView>
  </sheetViews>
  <sheetFormatPr defaultRowHeight="12.75"/>
  <sheetData/>
  <customSheetViews>
    <customSheetView guid="{5BFCA170-DEAE-4D2C-98A0-1E68B427AC01}" showPageBreaks="1">
      <selection activeCell="L38" sqref="L38"/>
      <pageMargins left="0.7" right="0.7" top="0.75" bottom="0.75" header="0.3" footer="0.3"/>
      <pageSetup paperSize="9" orientation="portrait" r:id="rId1"/>
    </customSheetView>
    <customSheetView guid="{B31C8DB7-3E78-4144-A6B5-8DE36DE63F0E}">
      <pageMargins left="0.7" right="0.7" top="0.75" bottom="0.75" header="0.3" footer="0.3"/>
    </customSheetView>
    <customSheetView guid="{B30CE22D-C12F-4E12-8BB9-3AAE0A6991CC}" showPageBreaks="1" state="hidden">
      <selection activeCell="L38" sqref="L38"/>
      <pageMargins left="0.7" right="0.7" top="0.75" bottom="0.75" header="0.3" footer="0.3"/>
      <pageSetup paperSize="9" orientation="portrait" r:id="rId2"/>
    </customSheetView>
    <customSheetView guid="{1718F1EE-9F48-4DBE-9531-3B70F9C4A5DD}">
      <selection activeCell="L38" sqref="L38"/>
      <pageMargins left="0.7" right="0.7" top="0.75" bottom="0.75" header="0.3" footer="0.3"/>
    </customSheetView>
    <customSheetView guid="{61528DAC-5C4C-48F4-ADE2-8A724B05A086}">
      <selection activeCell="L38" sqref="L3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BFCA170-DEAE-4D2C-98A0-1E68B427AC01}" showPageBreaks="1" state="hidden">
      <pageMargins left="0.7" right="0.7" top="0.75" bottom="0.75" header="0.3" footer="0.3"/>
      <pageSetup paperSize="9" orientation="portrait" r:id="rId1"/>
    </customSheetView>
    <customSheetView guid="{B30CE22D-C12F-4E12-8BB9-3AAE0A6991CC}" state="hidden">
      <pageMargins left="0.7" right="0.7" top="0.75" bottom="0.75" header="0.3" footer="0.3"/>
    </customSheetView>
    <customSheetView guid="{1718F1EE-9F48-4DBE-9531-3B70F9C4A5DD}" state="hidden">
      <pageMargins left="0.7" right="0.7" top="0.75" bottom="0.75" header="0.3" footer="0.3"/>
    </customSheetView>
    <customSheetView guid="{61528DAC-5C4C-48F4-ADE2-8A724B05A08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9"/>
  <sheetViews>
    <sheetView view="pageBreakPreview" zoomScale="60" workbookViewId="0">
      <selection activeCell="A140" sqref="A140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27" t="s">
        <v>396</v>
      </c>
      <c r="B1" s="427"/>
      <c r="C1" s="427"/>
      <c r="D1" s="427"/>
      <c r="E1" s="427"/>
      <c r="F1" s="427"/>
    </row>
    <row r="2" spans="1:6" ht="20.25">
      <c r="A2" s="427" t="s">
        <v>437</v>
      </c>
      <c r="B2" s="427"/>
      <c r="C2" s="427"/>
      <c r="D2" s="427"/>
      <c r="E2" s="427"/>
      <c r="F2" s="427"/>
    </row>
    <row r="3" spans="1:6" ht="101.25">
      <c r="A3" s="351" t="s">
        <v>0</v>
      </c>
      <c r="B3" s="351" t="s">
        <v>1</v>
      </c>
      <c r="C3" s="352" t="s">
        <v>398</v>
      </c>
      <c r="D3" s="353" t="s">
        <v>416</v>
      </c>
      <c r="E3" s="352" t="s">
        <v>2</v>
      </c>
      <c r="F3" s="354" t="s">
        <v>3</v>
      </c>
    </row>
    <row r="4" spans="1:6" s="6" customFormat="1" ht="20.25">
      <c r="A4" s="355"/>
      <c r="B4" s="356" t="s">
        <v>4</v>
      </c>
      <c r="C4" s="357">
        <f>C5+C12+C17+C22+C24+C28+C7</f>
        <v>146392.1</v>
      </c>
      <c r="D4" s="357">
        <f>D5+D12+D17+D22+D24+D28+D7</f>
        <v>127500.72650000002</v>
      </c>
      <c r="E4" s="357">
        <f>SUM(D4/C4*100)</f>
        <v>87.095359995518891</v>
      </c>
      <c r="F4" s="357">
        <f>SUM(D4-C4)</f>
        <v>-18891.373499999987</v>
      </c>
    </row>
    <row r="5" spans="1:6" s="6" customFormat="1" ht="20.25">
      <c r="A5" s="355">
        <v>1010000</v>
      </c>
      <c r="B5" s="356" t="s">
        <v>5</v>
      </c>
      <c r="C5" s="357">
        <f>C6</f>
        <v>121767.4</v>
      </c>
      <c r="D5" s="357">
        <f>D6</f>
        <v>107372.96226</v>
      </c>
      <c r="E5" s="357">
        <f t="shared" ref="E5:E72" si="0">SUM(D5/C5*100)</f>
        <v>88.178742635549426</v>
      </c>
      <c r="F5" s="357">
        <f t="shared" ref="F5:F73" si="1">SUM(D5-C5)</f>
        <v>-14394.437739999994</v>
      </c>
    </row>
    <row r="6" spans="1:6" ht="20.25">
      <c r="A6" s="358">
        <v>1010200001</v>
      </c>
      <c r="B6" s="359" t="s">
        <v>224</v>
      </c>
      <c r="C6" s="360">
        <v>121767.4</v>
      </c>
      <c r="D6" s="361">
        <v>107372.96226</v>
      </c>
      <c r="E6" s="360">
        <f t="shared" si="0"/>
        <v>88.178742635549426</v>
      </c>
      <c r="F6" s="360">
        <f t="shared" si="1"/>
        <v>-14394.437739999994</v>
      </c>
    </row>
    <row r="7" spans="1:6" ht="40.5">
      <c r="A7" s="355">
        <v>1030000</v>
      </c>
      <c r="B7" s="362" t="s">
        <v>266</v>
      </c>
      <c r="C7" s="357">
        <f>C8+C10+C9</f>
        <v>5337</v>
      </c>
      <c r="D7" s="357">
        <f>D8+D10+D9+D11</f>
        <v>4654.7480799999994</v>
      </c>
      <c r="E7" s="360">
        <f t="shared" si="0"/>
        <v>87.216565111485849</v>
      </c>
      <c r="F7" s="360">
        <f t="shared" si="1"/>
        <v>-682.25192000000061</v>
      </c>
    </row>
    <row r="8" spans="1:6" ht="20.25">
      <c r="A8" s="358">
        <v>1030223001</v>
      </c>
      <c r="B8" s="359" t="s">
        <v>268</v>
      </c>
      <c r="C8" s="360">
        <v>1814.9069999999999</v>
      </c>
      <c r="D8" s="361">
        <v>2144.3723399999999</v>
      </c>
      <c r="E8" s="360">
        <f t="shared" si="0"/>
        <v>118.15329049918259</v>
      </c>
      <c r="F8" s="360">
        <f>SUM(D8-C8)</f>
        <v>329.46533999999997</v>
      </c>
    </row>
    <row r="9" spans="1:6" ht="20.25">
      <c r="A9" s="358">
        <v>1030224001</v>
      </c>
      <c r="B9" s="359" t="s">
        <v>274</v>
      </c>
      <c r="C9" s="360">
        <v>21.959</v>
      </c>
      <c r="D9" s="361">
        <v>15.38428</v>
      </c>
      <c r="E9" s="360">
        <f t="shared" si="0"/>
        <v>70.059110159843357</v>
      </c>
      <c r="F9" s="360">
        <f>SUM(D9-C9)</f>
        <v>-6.5747199999999992</v>
      </c>
    </row>
    <row r="10" spans="1:6" ht="20.25">
      <c r="A10" s="358">
        <v>1030225001</v>
      </c>
      <c r="B10" s="359" t="s">
        <v>267</v>
      </c>
      <c r="C10" s="360">
        <v>3500.134</v>
      </c>
      <c r="D10" s="361">
        <v>2881.23648</v>
      </c>
      <c r="E10" s="360">
        <f t="shared" si="0"/>
        <v>82.317890686470861</v>
      </c>
      <c r="F10" s="360">
        <f t="shared" si="1"/>
        <v>-618.89751999999999</v>
      </c>
    </row>
    <row r="11" spans="1:6" ht="20.25">
      <c r="A11" s="358">
        <v>1030226001</v>
      </c>
      <c r="B11" s="359" t="s">
        <v>276</v>
      </c>
      <c r="C11" s="360">
        <v>0</v>
      </c>
      <c r="D11" s="361">
        <v>-386.24502000000001</v>
      </c>
      <c r="E11" s="360" t="e">
        <f t="shared" si="0"/>
        <v>#DIV/0!</v>
      </c>
      <c r="F11" s="360">
        <f t="shared" si="1"/>
        <v>-386.24502000000001</v>
      </c>
    </row>
    <row r="12" spans="1:6" s="6" customFormat="1" ht="20.25">
      <c r="A12" s="355">
        <v>1050000</v>
      </c>
      <c r="B12" s="356" t="s">
        <v>6</v>
      </c>
      <c r="C12" s="357">
        <f>SUM(C13:C16)</f>
        <v>12087.7</v>
      </c>
      <c r="D12" s="357">
        <f>SUM(D13:D16)</f>
        <v>8665.3033599999999</v>
      </c>
      <c r="E12" s="357">
        <f t="shared" si="0"/>
        <v>71.686949212836183</v>
      </c>
      <c r="F12" s="357">
        <f t="shared" si="1"/>
        <v>-3422.3966400000008</v>
      </c>
    </row>
    <row r="13" spans="1:6" s="6" customFormat="1" ht="20.25">
      <c r="A13" s="358">
        <v>1050100000</v>
      </c>
      <c r="B13" s="363" t="s">
        <v>401</v>
      </c>
      <c r="C13" s="360">
        <v>1673.1</v>
      </c>
      <c r="D13" s="360">
        <v>1888.73423</v>
      </c>
      <c r="E13" s="360">
        <f t="shared" si="0"/>
        <v>112.88830494292033</v>
      </c>
      <c r="F13" s="360">
        <f t="shared" si="1"/>
        <v>215.63423000000012</v>
      </c>
    </row>
    <row r="14" spans="1:6" ht="20.25">
      <c r="A14" s="358">
        <v>1050200000</v>
      </c>
      <c r="B14" s="363" t="s">
        <v>232</v>
      </c>
      <c r="C14" s="364">
        <v>8866.2000000000007</v>
      </c>
      <c r="D14" s="361">
        <v>5185.4382699999996</v>
      </c>
      <c r="E14" s="360">
        <f t="shared" si="0"/>
        <v>58.485464686111285</v>
      </c>
      <c r="F14" s="360">
        <f t="shared" si="1"/>
        <v>-3680.7617300000011</v>
      </c>
    </row>
    <row r="15" spans="1:6" ht="23.25" customHeight="1">
      <c r="A15" s="358">
        <v>1050300000</v>
      </c>
      <c r="B15" s="363" t="s">
        <v>225</v>
      </c>
      <c r="C15" s="364">
        <v>1348.4</v>
      </c>
      <c r="D15" s="361">
        <v>1508.62266</v>
      </c>
      <c r="E15" s="360">
        <f t="shared" si="0"/>
        <v>111.88242806288935</v>
      </c>
      <c r="F15" s="360">
        <f t="shared" si="1"/>
        <v>160.22265999999991</v>
      </c>
    </row>
    <row r="16" spans="1:6" ht="40.5">
      <c r="A16" s="358">
        <v>1050400002</v>
      </c>
      <c r="B16" s="359" t="s">
        <v>253</v>
      </c>
      <c r="C16" s="364">
        <v>200</v>
      </c>
      <c r="D16" s="361">
        <v>82.508200000000002</v>
      </c>
      <c r="E16" s="360">
        <f t="shared" si="0"/>
        <v>41.254100000000001</v>
      </c>
      <c r="F16" s="360">
        <f t="shared" si="1"/>
        <v>-117.4918</v>
      </c>
    </row>
    <row r="17" spans="1:6" s="6" customFormat="1" ht="24" customHeight="1">
      <c r="A17" s="355">
        <v>1060000</v>
      </c>
      <c r="B17" s="356" t="s">
        <v>133</v>
      </c>
      <c r="C17" s="357">
        <f>SUM(C18:C21)</f>
        <v>2300</v>
      </c>
      <c r="D17" s="357">
        <f>SUM(D18:D21)</f>
        <v>2151.1283899999999</v>
      </c>
      <c r="E17" s="357">
        <f t="shared" si="0"/>
        <v>93.527321304347822</v>
      </c>
      <c r="F17" s="357">
        <f t="shared" si="1"/>
        <v>-148.87161000000015</v>
      </c>
    </row>
    <row r="18" spans="1:6" s="6" customFormat="1" ht="18" customHeight="1">
      <c r="A18" s="358">
        <v>1060100000</v>
      </c>
      <c r="B18" s="363" t="s">
        <v>8</v>
      </c>
      <c r="C18" s="360">
        <v>0</v>
      </c>
      <c r="D18" s="361">
        <v>0</v>
      </c>
      <c r="E18" s="357" t="e">
        <f t="shared" si="0"/>
        <v>#DIV/0!</v>
      </c>
      <c r="F18" s="357">
        <f t="shared" si="1"/>
        <v>0</v>
      </c>
    </row>
    <row r="19" spans="1:6" s="6" customFormat="1" ht="21" customHeight="1">
      <c r="A19" s="358">
        <v>1060200000</v>
      </c>
      <c r="B19" s="363" t="s">
        <v>120</v>
      </c>
      <c r="C19" s="360">
        <v>0</v>
      </c>
      <c r="D19" s="361">
        <v>0</v>
      </c>
      <c r="E19" s="357" t="e">
        <f t="shared" si="0"/>
        <v>#DIV/0!</v>
      </c>
      <c r="F19" s="357">
        <f t="shared" si="1"/>
        <v>0</v>
      </c>
    </row>
    <row r="20" spans="1:6" s="6" customFormat="1" ht="21.75" customHeight="1">
      <c r="A20" s="358">
        <v>1060400000</v>
      </c>
      <c r="B20" s="363" t="s">
        <v>265</v>
      </c>
      <c r="C20" s="360">
        <v>2300</v>
      </c>
      <c r="D20" s="361">
        <v>2151.1283899999999</v>
      </c>
      <c r="E20" s="360">
        <f t="shared" si="0"/>
        <v>93.527321304347822</v>
      </c>
      <c r="F20" s="360">
        <f t="shared" si="1"/>
        <v>-148.87161000000015</v>
      </c>
    </row>
    <row r="21" spans="1:6" ht="22.5" customHeight="1">
      <c r="A21" s="358">
        <v>1060600000</v>
      </c>
      <c r="B21" s="363" t="s">
        <v>7</v>
      </c>
      <c r="C21" s="360">
        <v>0</v>
      </c>
      <c r="D21" s="361"/>
      <c r="E21" s="360" t="e">
        <f t="shared" si="0"/>
        <v>#DIV/0!</v>
      </c>
      <c r="F21" s="360">
        <f t="shared" si="1"/>
        <v>0</v>
      </c>
    </row>
    <row r="22" spans="1:6" s="6" customFormat="1" ht="42" customHeight="1">
      <c r="A22" s="355">
        <v>1070000</v>
      </c>
      <c r="B22" s="362" t="s">
        <v>9</v>
      </c>
      <c r="C22" s="357">
        <f>SUM(C23)</f>
        <v>1500</v>
      </c>
      <c r="D22" s="357">
        <f>SUM(D23)</f>
        <v>1798.0187900000001</v>
      </c>
      <c r="E22" s="357">
        <f t="shared" si="0"/>
        <v>119.86791933333333</v>
      </c>
      <c r="F22" s="357">
        <f t="shared" si="1"/>
        <v>298.01879000000008</v>
      </c>
    </row>
    <row r="23" spans="1:6" ht="41.25" customHeight="1">
      <c r="A23" s="358">
        <v>1070102001</v>
      </c>
      <c r="B23" s="359" t="s">
        <v>233</v>
      </c>
      <c r="C23" s="360">
        <v>1500</v>
      </c>
      <c r="D23" s="361">
        <v>1798.0187900000001</v>
      </c>
      <c r="E23" s="360">
        <f t="shared" si="0"/>
        <v>119.86791933333333</v>
      </c>
      <c r="F23" s="360">
        <f t="shared" si="1"/>
        <v>298.01879000000008</v>
      </c>
    </row>
    <row r="24" spans="1:6" s="6" customFormat="1" ht="20.25">
      <c r="A24" s="355">
        <v>1080000</v>
      </c>
      <c r="B24" s="356" t="s">
        <v>10</v>
      </c>
      <c r="C24" s="357">
        <f>C25+C26+C27</f>
        <v>3400</v>
      </c>
      <c r="D24" s="357">
        <f>D25+D26+D27</f>
        <v>2858.3062300000001</v>
      </c>
      <c r="E24" s="357">
        <f t="shared" si="0"/>
        <v>84.067830294117655</v>
      </c>
      <c r="F24" s="357">
        <f t="shared" si="1"/>
        <v>-541.69376999999986</v>
      </c>
    </row>
    <row r="25" spans="1:6" ht="30.75" customHeight="1">
      <c r="A25" s="358">
        <v>1080300001</v>
      </c>
      <c r="B25" s="359" t="s">
        <v>234</v>
      </c>
      <c r="C25" s="360">
        <v>2590</v>
      </c>
      <c r="D25" s="430">
        <v>2319.2324800000001</v>
      </c>
      <c r="E25" s="360">
        <f t="shared" si="0"/>
        <v>89.545655598455596</v>
      </c>
      <c r="F25" s="360">
        <f t="shared" si="1"/>
        <v>-270.76751999999988</v>
      </c>
    </row>
    <row r="26" spans="1:6" ht="30.75" customHeight="1">
      <c r="A26" s="358">
        <v>1080600001</v>
      </c>
      <c r="B26" s="359" t="s">
        <v>223</v>
      </c>
      <c r="C26" s="360">
        <v>0</v>
      </c>
      <c r="D26" s="361">
        <v>3.06</v>
      </c>
      <c r="E26" s="360" t="e">
        <f>SUM(D26/C26*100)</f>
        <v>#DIV/0!</v>
      </c>
      <c r="F26" s="360">
        <f t="shared" si="1"/>
        <v>3.06</v>
      </c>
    </row>
    <row r="27" spans="1:6" ht="86.25" customHeight="1">
      <c r="A27" s="358">
        <v>1080700001</v>
      </c>
      <c r="B27" s="359" t="s">
        <v>222</v>
      </c>
      <c r="C27" s="360">
        <v>810</v>
      </c>
      <c r="D27" s="361">
        <v>536.01374999999996</v>
      </c>
      <c r="E27" s="360">
        <f t="shared" si="0"/>
        <v>66.174537037037027</v>
      </c>
      <c r="F27" s="360">
        <f t="shared" si="1"/>
        <v>-273.98625000000004</v>
      </c>
    </row>
    <row r="28" spans="1:6" s="15" customFormat="1" ht="33.75" customHeight="1">
      <c r="A28" s="454">
        <v>109000000</v>
      </c>
      <c r="B28" s="362" t="s">
        <v>226</v>
      </c>
      <c r="C28" s="357">
        <f>C29+C30+C31+C32</f>
        <v>0</v>
      </c>
      <c r="D28" s="357">
        <f>D29+D30+D31+D32</f>
        <v>0.25939000000000001</v>
      </c>
      <c r="E28" s="360" t="e">
        <f t="shared" si="0"/>
        <v>#DIV/0!</v>
      </c>
      <c r="F28" s="357">
        <f t="shared" si="1"/>
        <v>0.25939000000000001</v>
      </c>
    </row>
    <row r="29" spans="1:6" s="15" customFormat="1" ht="37.5" customHeight="1">
      <c r="A29" s="358">
        <v>1090100000</v>
      </c>
      <c r="B29" s="359" t="s">
        <v>122</v>
      </c>
      <c r="C29" s="360">
        <v>0</v>
      </c>
      <c r="D29" s="361">
        <v>0</v>
      </c>
      <c r="E29" s="360" t="e">
        <f t="shared" si="0"/>
        <v>#DIV/0!</v>
      </c>
      <c r="F29" s="360">
        <f t="shared" si="1"/>
        <v>0</v>
      </c>
    </row>
    <row r="30" spans="1:6" s="15" customFormat="1" ht="36" customHeight="1">
      <c r="A30" s="358">
        <v>1090400000</v>
      </c>
      <c r="B30" s="359" t="s">
        <v>123</v>
      </c>
      <c r="C30" s="360">
        <v>0</v>
      </c>
      <c r="D30" s="361">
        <v>0</v>
      </c>
      <c r="E30" s="360" t="e">
        <f t="shared" si="0"/>
        <v>#DIV/0!</v>
      </c>
      <c r="F30" s="360">
        <f t="shared" si="1"/>
        <v>0</v>
      </c>
    </row>
    <row r="31" spans="1:6" s="15" customFormat="1" ht="36" customHeight="1">
      <c r="A31" s="358">
        <v>1090600000</v>
      </c>
      <c r="B31" s="359" t="s">
        <v>124</v>
      </c>
      <c r="C31" s="360">
        <v>0</v>
      </c>
      <c r="D31" s="361">
        <v>0</v>
      </c>
      <c r="E31" s="360" t="e">
        <f t="shared" si="0"/>
        <v>#DIV/0!</v>
      </c>
      <c r="F31" s="360">
        <f t="shared" si="1"/>
        <v>0</v>
      </c>
    </row>
    <row r="32" spans="1:6" s="15" customFormat="1" ht="37.5" customHeight="1">
      <c r="A32" s="358">
        <v>1090700000</v>
      </c>
      <c r="B32" s="359" t="s">
        <v>125</v>
      </c>
      <c r="C32" s="360">
        <v>0</v>
      </c>
      <c r="D32" s="361">
        <v>0.25939000000000001</v>
      </c>
      <c r="E32" s="360" t="e">
        <f t="shared" si="0"/>
        <v>#DIV/0!</v>
      </c>
      <c r="F32" s="360">
        <f t="shared" si="1"/>
        <v>0.25939000000000001</v>
      </c>
    </row>
    <row r="33" spans="1:6" s="6" customFormat="1" ht="33.75" customHeight="1">
      <c r="A33" s="355"/>
      <c r="B33" s="356" t="s">
        <v>12</v>
      </c>
      <c r="C33" s="357">
        <f>C34+C43+C45+C48+C52+C54+C60</f>
        <v>17834</v>
      </c>
      <c r="D33" s="357">
        <f>D34+D43+D45+D48+D52+D54+D60</f>
        <v>15311.83844</v>
      </c>
      <c r="E33" s="357">
        <f t="shared" si="0"/>
        <v>85.857566670404836</v>
      </c>
      <c r="F33" s="357">
        <f t="shared" si="1"/>
        <v>-2522.1615600000005</v>
      </c>
    </row>
    <row r="34" spans="1:6" s="6" customFormat="1" ht="60.75" customHeight="1">
      <c r="A34" s="355">
        <v>1110000</v>
      </c>
      <c r="B34" s="362" t="s">
        <v>126</v>
      </c>
      <c r="C34" s="357">
        <f>SUM(C35:C42)</f>
        <v>9900</v>
      </c>
      <c r="D34" s="357">
        <f>SUM(D35+D37+D38+D40+D41+D42)</f>
        <v>7611.1594599999989</v>
      </c>
      <c r="E34" s="357">
        <f t="shared" si="0"/>
        <v>76.880398585858572</v>
      </c>
      <c r="F34" s="357">
        <f t="shared" si="1"/>
        <v>-2288.8405400000011</v>
      </c>
    </row>
    <row r="35" spans="1:6" s="6" customFormat="1" ht="34.5" customHeight="1">
      <c r="A35" s="358">
        <v>1110105005</v>
      </c>
      <c r="B35" s="359" t="s">
        <v>305</v>
      </c>
      <c r="C35" s="360">
        <v>30</v>
      </c>
      <c r="D35" s="360">
        <v>17.61</v>
      </c>
      <c r="E35" s="360">
        <f t="shared" si="0"/>
        <v>58.699999999999996</v>
      </c>
      <c r="F35" s="360">
        <f t="shared" si="1"/>
        <v>-12.39</v>
      </c>
    </row>
    <row r="36" spans="1:6" ht="27.75" customHeight="1">
      <c r="A36" s="358">
        <v>1110305005</v>
      </c>
      <c r="B36" s="363" t="s">
        <v>235</v>
      </c>
      <c r="C36" s="360">
        <v>0</v>
      </c>
      <c r="D36" s="361">
        <v>0</v>
      </c>
      <c r="E36" s="360" t="e">
        <f t="shared" si="0"/>
        <v>#DIV/0!</v>
      </c>
      <c r="F36" s="360">
        <f t="shared" si="1"/>
        <v>0</v>
      </c>
    </row>
    <row r="37" spans="1:6" ht="20.25">
      <c r="A37" s="365">
        <v>1110501101</v>
      </c>
      <c r="B37" s="366" t="s">
        <v>221</v>
      </c>
      <c r="C37" s="364">
        <v>9000</v>
      </c>
      <c r="D37" s="361">
        <v>6812.6841100000001</v>
      </c>
      <c r="E37" s="360">
        <f t="shared" si="0"/>
        <v>75.696490111111117</v>
      </c>
      <c r="F37" s="360">
        <f t="shared" si="1"/>
        <v>-2187.3158899999999</v>
      </c>
    </row>
    <row r="38" spans="1:6" ht="20.25" customHeight="1">
      <c r="A38" s="358">
        <v>1110503505</v>
      </c>
      <c r="B38" s="363" t="s">
        <v>220</v>
      </c>
      <c r="C38" s="364">
        <v>300</v>
      </c>
      <c r="D38" s="361">
        <v>228.50869</v>
      </c>
      <c r="E38" s="360">
        <f t="shared" si="0"/>
        <v>76.169563333333329</v>
      </c>
      <c r="F38" s="360">
        <f t="shared" si="1"/>
        <v>-71.491309999999999</v>
      </c>
    </row>
    <row r="39" spans="1:6" ht="131.25" customHeight="1">
      <c r="A39" s="358">
        <v>1110502000</v>
      </c>
      <c r="B39" s="359" t="s">
        <v>262</v>
      </c>
      <c r="C39" s="367">
        <v>0</v>
      </c>
      <c r="D39" s="361">
        <v>0</v>
      </c>
      <c r="E39" s="360" t="e">
        <f t="shared" si="0"/>
        <v>#DIV/0!</v>
      </c>
      <c r="F39" s="360">
        <f t="shared" si="1"/>
        <v>0</v>
      </c>
    </row>
    <row r="40" spans="1:6" s="15" customFormat="1" ht="20.25">
      <c r="A40" s="358">
        <v>1110701505</v>
      </c>
      <c r="B40" s="363" t="s">
        <v>236</v>
      </c>
      <c r="C40" s="364">
        <v>70</v>
      </c>
      <c r="D40" s="361">
        <v>31.940999999999999</v>
      </c>
      <c r="E40" s="360">
        <f t="shared" si="0"/>
        <v>45.629999999999995</v>
      </c>
      <c r="F40" s="360">
        <f t="shared" si="1"/>
        <v>-38.058999999999997</v>
      </c>
    </row>
    <row r="41" spans="1:6" s="15" customFormat="1" ht="20.25">
      <c r="A41" s="358">
        <v>1110903000</v>
      </c>
      <c r="B41" s="363" t="s">
        <v>388</v>
      </c>
      <c r="C41" s="364">
        <v>0</v>
      </c>
      <c r="D41" s="361">
        <v>0</v>
      </c>
      <c r="E41" s="360" t="e">
        <f>SUM(D41/C41*100)</f>
        <v>#DIV/0!</v>
      </c>
      <c r="F41" s="360">
        <f>SUM(D41-C41)</f>
        <v>0</v>
      </c>
    </row>
    <row r="42" spans="1:6" s="15" customFormat="1" ht="20.25">
      <c r="A42" s="358">
        <v>1110904505</v>
      </c>
      <c r="B42" s="363" t="s">
        <v>317</v>
      </c>
      <c r="C42" s="364">
        <v>500</v>
      </c>
      <c r="D42" s="361">
        <v>520.41566</v>
      </c>
      <c r="E42" s="360">
        <f t="shared" si="0"/>
        <v>104.08313200000001</v>
      </c>
      <c r="F42" s="360">
        <f t="shared" si="1"/>
        <v>20.415660000000003</v>
      </c>
    </row>
    <row r="43" spans="1:6" s="15" customFormat="1" ht="40.5">
      <c r="A43" s="355">
        <v>1120000</v>
      </c>
      <c r="B43" s="362" t="s">
        <v>127</v>
      </c>
      <c r="C43" s="368">
        <f>C44</f>
        <v>550</v>
      </c>
      <c r="D43" s="368">
        <f>D44</f>
        <v>466.79214000000002</v>
      </c>
      <c r="E43" s="357">
        <f t="shared" si="0"/>
        <v>84.87129818181819</v>
      </c>
      <c r="F43" s="357">
        <f t="shared" si="1"/>
        <v>-83.207859999999982</v>
      </c>
    </row>
    <row r="44" spans="1:6" s="15" customFormat="1" ht="40.5">
      <c r="A44" s="358">
        <v>1120100001</v>
      </c>
      <c r="B44" s="359" t="s">
        <v>237</v>
      </c>
      <c r="C44" s="360">
        <v>550</v>
      </c>
      <c r="D44" s="361">
        <v>466.79214000000002</v>
      </c>
      <c r="E44" s="360">
        <f t="shared" si="0"/>
        <v>84.87129818181819</v>
      </c>
      <c r="F44" s="360">
        <f t="shared" si="1"/>
        <v>-83.207859999999982</v>
      </c>
    </row>
    <row r="45" spans="1:6" s="189" customFormat="1" ht="21.75" customHeight="1">
      <c r="A45" s="369">
        <v>1130000</v>
      </c>
      <c r="B45" s="370" t="s">
        <v>128</v>
      </c>
      <c r="C45" s="357">
        <f>C46+C47</f>
        <v>84</v>
      </c>
      <c r="D45" s="357">
        <f>D46+D47</f>
        <v>184.18921</v>
      </c>
      <c r="E45" s="357">
        <f t="shared" si="0"/>
        <v>219.27286904761905</v>
      </c>
      <c r="F45" s="357">
        <f t="shared" si="1"/>
        <v>100.18921</v>
      </c>
    </row>
    <row r="46" spans="1:6" s="15" customFormat="1" ht="36" customHeight="1">
      <c r="A46" s="358">
        <v>1130200000</v>
      </c>
      <c r="B46" s="359" t="s">
        <v>315</v>
      </c>
      <c r="C46" s="360">
        <v>84</v>
      </c>
      <c r="D46" s="360">
        <v>184.18921</v>
      </c>
      <c r="E46" s="360">
        <f>SUM(D46/C46*100)</f>
        <v>219.27286904761905</v>
      </c>
      <c r="F46" s="360">
        <f>SUM(D46-C46)</f>
        <v>100.18921</v>
      </c>
    </row>
    <row r="47" spans="1:6" ht="25.5" customHeight="1">
      <c r="A47" s="358">
        <v>1130305005</v>
      </c>
      <c r="B47" s="359" t="s">
        <v>219</v>
      </c>
      <c r="C47" s="360">
        <v>0</v>
      </c>
      <c r="D47" s="361">
        <v>0</v>
      </c>
      <c r="E47" s="360"/>
      <c r="F47" s="360">
        <f t="shared" si="1"/>
        <v>0</v>
      </c>
    </row>
    <row r="48" spans="1:6" ht="20.25" customHeight="1">
      <c r="A48" s="371">
        <v>1140000</v>
      </c>
      <c r="B48" s="372" t="s">
        <v>129</v>
      </c>
      <c r="C48" s="357">
        <f>C49+C50</f>
        <v>4500</v>
      </c>
      <c r="D48" s="357">
        <f>D49+D50+D51</f>
        <v>4883.4555500000006</v>
      </c>
      <c r="E48" s="357">
        <f t="shared" si="0"/>
        <v>108.52123444444446</v>
      </c>
      <c r="F48" s="357">
        <f t="shared" si="1"/>
        <v>383.45555000000058</v>
      </c>
    </row>
    <row r="49" spans="1:8" ht="20.25">
      <c r="A49" s="365">
        <v>1140200000</v>
      </c>
      <c r="B49" s="373" t="s">
        <v>217</v>
      </c>
      <c r="C49" s="360">
        <v>500</v>
      </c>
      <c r="D49" s="361">
        <v>170.4915</v>
      </c>
      <c r="E49" s="360">
        <f t="shared" si="0"/>
        <v>34.098299999999995</v>
      </c>
      <c r="F49" s="360">
        <f t="shared" si="1"/>
        <v>-329.50850000000003</v>
      </c>
    </row>
    <row r="50" spans="1:8" ht="19.5" customHeight="1">
      <c r="A50" s="358">
        <v>1140600000</v>
      </c>
      <c r="B50" s="359" t="s">
        <v>218</v>
      </c>
      <c r="C50" s="360">
        <v>4000</v>
      </c>
      <c r="D50" s="361">
        <v>4692.8375500000002</v>
      </c>
      <c r="E50" s="360">
        <f t="shared" si="0"/>
        <v>117.32093875000001</v>
      </c>
      <c r="F50" s="360">
        <f t="shared" si="1"/>
        <v>692.83755000000019</v>
      </c>
    </row>
    <row r="51" spans="1:8" ht="36.75" customHeight="1">
      <c r="A51" s="358">
        <v>1140630000</v>
      </c>
      <c r="B51" s="359" t="s">
        <v>438</v>
      </c>
      <c r="C51" s="360"/>
      <c r="D51" s="361">
        <v>20.1265</v>
      </c>
      <c r="E51" s="360"/>
      <c r="F51" s="360"/>
    </row>
    <row r="52" spans="1:8" ht="25.5" customHeight="1">
      <c r="A52" s="355">
        <v>115000000</v>
      </c>
      <c r="B52" s="362" t="s">
        <v>230</v>
      </c>
      <c r="C52" s="357">
        <f>C53</f>
        <v>0</v>
      </c>
      <c r="D52" s="357">
        <f>D53</f>
        <v>0</v>
      </c>
      <c r="E52" s="357" t="e">
        <f t="shared" si="0"/>
        <v>#DIV/0!</v>
      </c>
      <c r="F52" s="357">
        <f t="shared" si="1"/>
        <v>0</v>
      </c>
    </row>
    <row r="53" spans="1:8" ht="61.5" customHeight="1">
      <c r="A53" s="358">
        <v>1150205005</v>
      </c>
      <c r="B53" s="359" t="s">
        <v>231</v>
      </c>
      <c r="C53" s="360">
        <v>0</v>
      </c>
      <c r="D53" s="361">
        <v>0</v>
      </c>
      <c r="E53" s="360" t="e">
        <f t="shared" si="0"/>
        <v>#DIV/0!</v>
      </c>
      <c r="F53" s="360">
        <f t="shared" si="1"/>
        <v>0</v>
      </c>
    </row>
    <row r="54" spans="1:8" ht="50.25" customHeight="1">
      <c r="A54" s="355">
        <v>1160000</v>
      </c>
      <c r="B54" s="362" t="s">
        <v>131</v>
      </c>
      <c r="C54" s="357">
        <f>SUM(C55:C59)</f>
        <v>2800</v>
      </c>
      <c r="D54" s="486">
        <f>SUM(D55:D59)</f>
        <v>2166.24208</v>
      </c>
      <c r="E54" s="357">
        <f>SUM(D54/C54*100)</f>
        <v>77.365788571428567</v>
      </c>
      <c r="F54" s="357">
        <f t="shared" si="1"/>
        <v>-633.75792000000001</v>
      </c>
      <c r="H54" s="152"/>
    </row>
    <row r="55" spans="1:8" ht="59.25" customHeight="1">
      <c r="A55" s="358">
        <v>1160100001</v>
      </c>
      <c r="B55" s="359" t="s">
        <v>406</v>
      </c>
      <c r="C55" s="360">
        <v>867</v>
      </c>
      <c r="D55" s="374">
        <v>528.28369999999995</v>
      </c>
      <c r="E55" s="360">
        <f>SUM(D55/C55*100)</f>
        <v>60.93237600922722</v>
      </c>
      <c r="F55" s="360">
        <f t="shared" si="1"/>
        <v>-338.71630000000005</v>
      </c>
    </row>
    <row r="56" spans="1:8" ht="42" customHeight="1">
      <c r="A56" s="358">
        <v>1161000000</v>
      </c>
      <c r="B56" s="359" t="s">
        <v>407</v>
      </c>
      <c r="C56" s="360">
        <v>1560</v>
      </c>
      <c r="D56" s="374">
        <v>1145.0607399999999</v>
      </c>
      <c r="E56" s="360">
        <f>SUM(D56/C56*100)</f>
        <v>73.401329487179481</v>
      </c>
      <c r="F56" s="360"/>
    </row>
    <row r="57" spans="1:8" ht="42" customHeight="1">
      <c r="A57" s="358">
        <v>1161100001</v>
      </c>
      <c r="B57" s="359" t="s">
        <v>408</v>
      </c>
      <c r="C57" s="360">
        <v>37</v>
      </c>
      <c r="D57" s="374">
        <v>33.234999999999999</v>
      </c>
      <c r="E57" s="360">
        <f>SUM(D57/C57*100)</f>
        <v>89.824324324324323</v>
      </c>
      <c r="F57" s="360"/>
    </row>
    <row r="58" spans="1:8" ht="39.75" customHeight="1">
      <c r="A58" s="358">
        <v>1160709000</v>
      </c>
      <c r="B58" s="359" t="s">
        <v>402</v>
      </c>
      <c r="C58" s="360">
        <v>336</v>
      </c>
      <c r="D58" s="375">
        <v>459.66264000000001</v>
      </c>
      <c r="E58" s="360">
        <f t="shared" si="0"/>
        <v>136.80435714285716</v>
      </c>
      <c r="F58" s="360">
        <f t="shared" si="1"/>
        <v>123.66264000000001</v>
      </c>
    </row>
    <row r="59" spans="1:8" ht="41.25" customHeight="1">
      <c r="A59" s="358">
        <v>1161012000</v>
      </c>
      <c r="B59" s="359" t="s">
        <v>403</v>
      </c>
      <c r="C59" s="376">
        <v>0</v>
      </c>
      <c r="D59" s="375">
        <v>0</v>
      </c>
      <c r="E59" s="360" t="e">
        <f t="shared" si="0"/>
        <v>#DIV/0!</v>
      </c>
      <c r="F59" s="360">
        <f t="shared" si="1"/>
        <v>0</v>
      </c>
    </row>
    <row r="60" spans="1:8" ht="25.5" customHeight="1">
      <c r="A60" s="355">
        <v>1170000</v>
      </c>
      <c r="B60" s="362" t="s">
        <v>132</v>
      </c>
      <c r="C60" s="357">
        <f>C61+C62</f>
        <v>0</v>
      </c>
      <c r="D60" s="357">
        <f>D61+D62</f>
        <v>0</v>
      </c>
      <c r="E60" s="360" t="e">
        <f t="shared" si="0"/>
        <v>#DIV/0!</v>
      </c>
      <c r="F60" s="357">
        <f t="shared" si="1"/>
        <v>0</v>
      </c>
    </row>
    <row r="61" spans="1:8" ht="20.25">
      <c r="A61" s="358">
        <v>1170105005</v>
      </c>
      <c r="B61" s="359" t="s">
        <v>15</v>
      </c>
      <c r="C61" s="360">
        <v>0</v>
      </c>
      <c r="D61" s="360"/>
      <c r="E61" s="360" t="e">
        <f t="shared" si="0"/>
        <v>#DIV/0!</v>
      </c>
      <c r="F61" s="360">
        <f t="shared" si="1"/>
        <v>0</v>
      </c>
    </row>
    <row r="62" spans="1:8" ht="20.25">
      <c r="A62" s="358">
        <v>1170505005</v>
      </c>
      <c r="B62" s="363" t="s">
        <v>216</v>
      </c>
      <c r="C62" s="360">
        <v>0</v>
      </c>
      <c r="D62" s="361">
        <v>0</v>
      </c>
      <c r="E62" s="360" t="e">
        <f t="shared" si="0"/>
        <v>#DIV/0!</v>
      </c>
      <c r="F62" s="360">
        <f t="shared" si="1"/>
        <v>0</v>
      </c>
    </row>
    <row r="63" spans="1:8" s="6" customFormat="1" ht="20.25">
      <c r="A63" s="355">
        <v>100000</v>
      </c>
      <c r="B63" s="356" t="s">
        <v>16</v>
      </c>
      <c r="C63" s="450">
        <f>SUM(C4,C33)</f>
        <v>164226.1</v>
      </c>
      <c r="D63" s="450">
        <f>SUM(D4,D33)</f>
        <v>142812.56494000001</v>
      </c>
      <c r="E63" s="357">
        <f>SUM(D63/C63*100)</f>
        <v>86.960942834299786</v>
      </c>
      <c r="F63" s="357">
        <f>SUM(D63-C63)</f>
        <v>-21413.535059999995</v>
      </c>
      <c r="G63" s="94"/>
      <c r="H63" s="94"/>
    </row>
    <row r="64" spans="1:8" s="6" customFormat="1" ht="30" customHeight="1">
      <c r="A64" s="355">
        <v>200000</v>
      </c>
      <c r="B64" s="356" t="s">
        <v>17</v>
      </c>
      <c r="C64" s="487">
        <f>C65+C68+C69+C70+C72+C67+C71</f>
        <v>704776.44002999994</v>
      </c>
      <c r="D64" s="487">
        <f>D65+D68+D69+D70+D72+D67+D71</f>
        <v>521900.48564000003</v>
      </c>
      <c r="E64" s="357">
        <f t="shared" si="0"/>
        <v>74.051920012789367</v>
      </c>
      <c r="F64" s="357">
        <f t="shared" si="1"/>
        <v>-182875.95438999991</v>
      </c>
      <c r="G64" s="94"/>
      <c r="H64" s="94"/>
    </row>
    <row r="65" spans="1:8" ht="21.75" customHeight="1">
      <c r="A65" s="365">
        <v>2021000000</v>
      </c>
      <c r="B65" s="366" t="s">
        <v>18</v>
      </c>
      <c r="C65" s="364">
        <v>0</v>
      </c>
      <c r="D65" s="377"/>
      <c r="E65" s="360" t="e">
        <f t="shared" si="0"/>
        <v>#DIV/0!</v>
      </c>
      <c r="F65" s="360">
        <f t="shared" si="1"/>
        <v>0</v>
      </c>
    </row>
    <row r="66" spans="1:8" ht="21" customHeight="1">
      <c r="A66" s="365">
        <v>2020100905</v>
      </c>
      <c r="B66" s="373" t="s">
        <v>261</v>
      </c>
      <c r="C66" s="364">
        <v>0</v>
      </c>
      <c r="D66" s="377">
        <v>0</v>
      </c>
      <c r="E66" s="360" t="e">
        <f t="shared" si="0"/>
        <v>#DIV/0!</v>
      </c>
      <c r="F66" s="360">
        <f t="shared" si="1"/>
        <v>0</v>
      </c>
    </row>
    <row r="67" spans="1:8" ht="21.75" customHeight="1">
      <c r="A67" s="365">
        <v>2021500200</v>
      </c>
      <c r="B67" s="366" t="s">
        <v>227</v>
      </c>
      <c r="C67" s="364">
        <v>13934.8</v>
      </c>
      <c r="D67" s="377">
        <v>13099.5</v>
      </c>
      <c r="E67" s="360">
        <f t="shared" si="0"/>
        <v>94.005654907138975</v>
      </c>
      <c r="F67" s="360">
        <f t="shared" si="1"/>
        <v>-835.29999999999927</v>
      </c>
    </row>
    <row r="68" spans="1:8" ht="20.25">
      <c r="A68" s="365">
        <v>2022000000</v>
      </c>
      <c r="B68" s="366" t="s">
        <v>19</v>
      </c>
      <c r="C68" s="364">
        <v>301468.30817999999</v>
      </c>
      <c r="D68" s="361">
        <v>161406.63271000001</v>
      </c>
      <c r="E68" s="360">
        <f t="shared" si="0"/>
        <v>53.540166024226899</v>
      </c>
      <c r="F68" s="360">
        <f t="shared" si="1"/>
        <v>-140061.67546999999</v>
      </c>
    </row>
    <row r="69" spans="1:8" ht="20.25">
      <c r="A69" s="365">
        <v>2023000000</v>
      </c>
      <c r="B69" s="366" t="s">
        <v>20</v>
      </c>
      <c r="C69" s="364">
        <v>369404.58653999999</v>
      </c>
      <c r="D69" s="378">
        <v>340147.92398999998</v>
      </c>
      <c r="E69" s="360">
        <f t="shared" si="0"/>
        <v>92.080048917629767</v>
      </c>
      <c r="F69" s="360">
        <f t="shared" si="1"/>
        <v>-29256.662550000008</v>
      </c>
    </row>
    <row r="70" spans="1:8" ht="19.5" customHeight="1">
      <c r="A70" s="365">
        <v>2024000000</v>
      </c>
      <c r="B70" s="373" t="s">
        <v>21</v>
      </c>
      <c r="C70" s="364">
        <v>73971.140419999996</v>
      </c>
      <c r="D70" s="379">
        <v>61442.418089999999</v>
      </c>
      <c r="E70" s="360">
        <f t="shared" si="0"/>
        <v>83.062688693369751</v>
      </c>
      <c r="F70" s="360">
        <f t="shared" si="1"/>
        <v>-12528.722329999997</v>
      </c>
    </row>
    <row r="71" spans="1:8" ht="20.25">
      <c r="A71" s="365">
        <v>2180500005</v>
      </c>
      <c r="B71" s="373" t="s">
        <v>310</v>
      </c>
      <c r="C71" s="364">
        <v>0</v>
      </c>
      <c r="D71" s="379">
        <v>78.638599999999997</v>
      </c>
      <c r="E71" s="360" t="e">
        <f t="shared" si="0"/>
        <v>#DIV/0!</v>
      </c>
      <c r="F71" s="360">
        <f t="shared" si="1"/>
        <v>78.638599999999997</v>
      </c>
    </row>
    <row r="72" spans="1:8" ht="18" customHeight="1">
      <c r="A72" s="358">
        <v>2196001005</v>
      </c>
      <c r="B72" s="363" t="s">
        <v>23</v>
      </c>
      <c r="C72" s="361">
        <v>-54002.395109999998</v>
      </c>
      <c r="D72" s="361">
        <v>-54274.62775</v>
      </c>
      <c r="E72" s="360">
        <f t="shared" si="0"/>
        <v>100.50411215918382</v>
      </c>
      <c r="F72" s="360">
        <f>SUM(D72-C72)</f>
        <v>-272.23264000000199</v>
      </c>
    </row>
    <row r="73" spans="1:8" s="6" customFormat="1" ht="1.5" customHeight="1">
      <c r="A73" s="355">
        <v>3000000000</v>
      </c>
      <c r="B73" s="362" t="s">
        <v>24</v>
      </c>
      <c r="C73" s="368">
        <v>0</v>
      </c>
      <c r="D73" s="380">
        <v>0</v>
      </c>
      <c r="E73" s="360" t="e">
        <f>SUM(D73/C73*100)</f>
        <v>#DIV/0!</v>
      </c>
      <c r="F73" s="357">
        <f t="shared" si="1"/>
        <v>0</v>
      </c>
    </row>
    <row r="74" spans="1:8" s="6" customFormat="1" ht="22.5" customHeight="1">
      <c r="A74" s="355"/>
      <c r="B74" s="356" t="s">
        <v>25</v>
      </c>
      <c r="C74" s="483">
        <f>C63+C64</f>
        <v>869002.54002999992</v>
      </c>
      <c r="D74" s="483">
        <f>D63+D64</f>
        <v>664713.05058000004</v>
      </c>
      <c r="E74" s="360">
        <f>SUM(D74/C74*100)</f>
        <v>76.491496855354725</v>
      </c>
      <c r="F74" s="357">
        <f>SUM(D75-C74)</f>
        <v>-897480.53549000004</v>
      </c>
      <c r="G74" s="214"/>
      <c r="H74" s="94">
        <f>D74-24575.623</f>
        <v>640137.42758000002</v>
      </c>
    </row>
    <row r="75" spans="1:8" s="6" customFormat="1" ht="20.25">
      <c r="A75" s="355"/>
      <c r="B75" s="381" t="s">
        <v>306</v>
      </c>
      <c r="C75" s="382">
        <f>C74-C136</f>
        <v>-63828.982270000153</v>
      </c>
      <c r="D75" s="357">
        <f>D74-D136</f>
        <v>-28477.995460000122</v>
      </c>
      <c r="E75" s="383"/>
      <c r="F75" s="383"/>
      <c r="G75" s="94"/>
      <c r="H75" s="94"/>
    </row>
    <row r="76" spans="1:8" ht="20.25">
      <c r="A76" s="384"/>
      <c r="B76" s="385"/>
      <c r="C76" s="386"/>
      <c r="D76" s="386"/>
      <c r="E76" s="387"/>
      <c r="F76" s="387"/>
    </row>
    <row r="77" spans="1:8" ht="101.25">
      <c r="A77" s="388" t="s">
        <v>0</v>
      </c>
      <c r="B77" s="388" t="s">
        <v>26</v>
      </c>
      <c r="C77" s="352" t="s">
        <v>398</v>
      </c>
      <c r="D77" s="353" t="s">
        <v>439</v>
      </c>
      <c r="E77" s="352" t="s">
        <v>2</v>
      </c>
      <c r="F77" s="354" t="s">
        <v>3</v>
      </c>
    </row>
    <row r="78" spans="1:8" ht="20.25">
      <c r="A78" s="389">
        <v>1</v>
      </c>
      <c r="B78" s="388">
        <v>2</v>
      </c>
      <c r="C78" s="390">
        <v>3</v>
      </c>
      <c r="D78" s="391">
        <v>4</v>
      </c>
      <c r="E78" s="390">
        <v>5</v>
      </c>
      <c r="F78" s="390">
        <v>6</v>
      </c>
    </row>
    <row r="79" spans="1:8" s="6" customFormat="1" ht="22.5" customHeight="1">
      <c r="A79" s="392" t="s">
        <v>27</v>
      </c>
      <c r="B79" s="393" t="s">
        <v>28</v>
      </c>
      <c r="C79" s="383">
        <f>SUM(C80+C81+C82+C83+C84+C85+C86)</f>
        <v>58564.259680000003</v>
      </c>
      <c r="D79" s="383">
        <f>SUM(D80:D86)</f>
        <v>41976.363120000002</v>
      </c>
      <c r="E79" s="394">
        <f>SUM(D79/C79*100)</f>
        <v>71.675734226578385</v>
      </c>
      <c r="F79" s="394">
        <f>SUM(D79-C79)</f>
        <v>-16587.896560000001</v>
      </c>
    </row>
    <row r="80" spans="1:8" s="6" customFormat="1" ht="40.5">
      <c r="A80" s="395" t="s">
        <v>29</v>
      </c>
      <c r="B80" s="396" t="s">
        <v>30</v>
      </c>
      <c r="C80" s="397">
        <v>50</v>
      </c>
      <c r="D80" s="397">
        <v>9.93736</v>
      </c>
      <c r="E80" s="394">
        <f>SUM(D80/C80*100)</f>
        <v>19.87472</v>
      </c>
      <c r="F80" s="394">
        <f>SUM(D80-C80)</f>
        <v>-40.062640000000002</v>
      </c>
    </row>
    <row r="81" spans="1:6" ht="21.75" customHeight="1">
      <c r="A81" s="395" t="s">
        <v>31</v>
      </c>
      <c r="B81" s="398" t="s">
        <v>32</v>
      </c>
      <c r="C81" s="397">
        <v>26951.869979999999</v>
      </c>
      <c r="D81" s="397">
        <v>19943.743719999999</v>
      </c>
      <c r="E81" s="399">
        <f t="shared" ref="E81:E136" si="2">SUM(D81/C81*100)</f>
        <v>73.997625154764862</v>
      </c>
      <c r="F81" s="399">
        <f t="shared" ref="F81:F136" si="3">SUM(D81-C81)</f>
        <v>-7008.1262600000009</v>
      </c>
    </row>
    <row r="82" spans="1:6" ht="19.5" customHeight="1">
      <c r="A82" s="395" t="s">
        <v>33</v>
      </c>
      <c r="B82" s="398" t="s">
        <v>34</v>
      </c>
      <c r="C82" s="397">
        <v>15.9</v>
      </c>
      <c r="D82" s="397">
        <v>15.9</v>
      </c>
      <c r="E82" s="399">
        <f t="shared" si="2"/>
        <v>100</v>
      </c>
      <c r="F82" s="399">
        <f t="shared" si="3"/>
        <v>0</v>
      </c>
    </row>
    <row r="83" spans="1:6" ht="38.25" customHeight="1">
      <c r="A83" s="395" t="s">
        <v>35</v>
      </c>
      <c r="B83" s="398" t="s">
        <v>36</v>
      </c>
      <c r="C83" s="400">
        <v>5516.4429899999996</v>
      </c>
      <c r="D83" s="400">
        <v>4731.0426500000003</v>
      </c>
      <c r="E83" s="399">
        <f t="shared" si="2"/>
        <v>85.762558564934992</v>
      </c>
      <c r="F83" s="399">
        <f t="shared" si="3"/>
        <v>-785.40033999999923</v>
      </c>
    </row>
    <row r="84" spans="1:6" ht="18.75" customHeight="1">
      <c r="A84" s="395" t="s">
        <v>37</v>
      </c>
      <c r="B84" s="398" t="s">
        <v>38</v>
      </c>
      <c r="C84" s="397">
        <v>1200</v>
      </c>
      <c r="D84" s="397">
        <v>1200</v>
      </c>
      <c r="E84" s="399">
        <f t="shared" si="2"/>
        <v>100</v>
      </c>
      <c r="F84" s="399">
        <f t="shared" si="3"/>
        <v>0</v>
      </c>
    </row>
    <row r="85" spans="1:6" ht="24.75" customHeight="1">
      <c r="A85" s="395" t="s">
        <v>39</v>
      </c>
      <c r="B85" s="398" t="s">
        <v>40</v>
      </c>
      <c r="C85" s="400">
        <v>7130.1896900000002</v>
      </c>
      <c r="D85" s="400">
        <v>0</v>
      </c>
      <c r="E85" s="399">
        <f t="shared" si="2"/>
        <v>0</v>
      </c>
      <c r="F85" s="399">
        <f t="shared" si="3"/>
        <v>-7130.1896900000002</v>
      </c>
    </row>
    <row r="86" spans="1:6" ht="24" customHeight="1">
      <c r="A86" s="395" t="s">
        <v>41</v>
      </c>
      <c r="B86" s="398" t="s">
        <v>42</v>
      </c>
      <c r="C86" s="397">
        <v>17699.857019999999</v>
      </c>
      <c r="D86" s="397">
        <v>16075.739390000001</v>
      </c>
      <c r="E86" s="399">
        <f t="shared" si="2"/>
        <v>90.824120058343851</v>
      </c>
      <c r="F86" s="399">
        <f t="shared" si="3"/>
        <v>-1624.1176299999988</v>
      </c>
    </row>
    <row r="87" spans="1:6" s="6" customFormat="1" ht="20.25">
      <c r="A87" s="401" t="s">
        <v>43</v>
      </c>
      <c r="B87" s="402" t="s">
        <v>44</v>
      </c>
      <c r="C87" s="383">
        <f>C88</f>
        <v>2380.4</v>
      </c>
      <c r="D87" s="499">
        <f>D88</f>
        <v>2168.1999999999998</v>
      </c>
      <c r="E87" s="394">
        <f t="shared" si="2"/>
        <v>91.085531843387656</v>
      </c>
      <c r="F87" s="394">
        <f t="shared" si="3"/>
        <v>-212.20000000000027</v>
      </c>
    </row>
    <row r="88" spans="1:6" ht="20.25">
      <c r="A88" s="403" t="s">
        <v>45</v>
      </c>
      <c r="B88" s="404" t="s">
        <v>46</v>
      </c>
      <c r="C88" s="397">
        <v>2380.4</v>
      </c>
      <c r="D88" s="397">
        <v>2168.1999999999998</v>
      </c>
      <c r="E88" s="399">
        <f t="shared" si="2"/>
        <v>91.085531843387656</v>
      </c>
      <c r="F88" s="399">
        <f t="shared" si="3"/>
        <v>-212.20000000000027</v>
      </c>
    </row>
    <row r="89" spans="1:6" s="6" customFormat="1" ht="21" customHeight="1">
      <c r="A89" s="392" t="s">
        <v>47</v>
      </c>
      <c r="B89" s="393" t="s">
        <v>48</v>
      </c>
      <c r="C89" s="383">
        <f>SUM(C91:C94)</f>
        <v>5176.2</v>
      </c>
      <c r="D89" s="383">
        <f>SUM(D91:D94)</f>
        <v>4440.5193600000002</v>
      </c>
      <c r="E89" s="394">
        <f t="shared" si="2"/>
        <v>85.787244696881899</v>
      </c>
      <c r="F89" s="394">
        <f t="shared" si="3"/>
        <v>-735.68063999999958</v>
      </c>
    </row>
    <row r="90" spans="1:6" ht="23.25" customHeight="1">
      <c r="A90" s="395" t="s">
        <v>49</v>
      </c>
      <c r="B90" s="398" t="s">
        <v>50</v>
      </c>
      <c r="C90" s="397">
        <v>0</v>
      </c>
      <c r="D90" s="397">
        <v>0</v>
      </c>
      <c r="E90" s="399" t="e">
        <f t="shared" si="2"/>
        <v>#DIV/0!</v>
      </c>
      <c r="F90" s="399">
        <f t="shared" si="3"/>
        <v>0</v>
      </c>
    </row>
    <row r="91" spans="1:6" ht="20.25">
      <c r="A91" s="405" t="s">
        <v>51</v>
      </c>
      <c r="B91" s="398" t="s">
        <v>312</v>
      </c>
      <c r="C91" s="397">
        <v>1679.3</v>
      </c>
      <c r="D91" s="397">
        <v>1431.4344900000001</v>
      </c>
      <c r="E91" s="399">
        <f t="shared" si="2"/>
        <v>85.239950574644212</v>
      </c>
      <c r="F91" s="399">
        <f t="shared" si="3"/>
        <v>-247.86550999999986</v>
      </c>
    </row>
    <row r="92" spans="1:6" ht="24" customHeight="1">
      <c r="A92" s="406" t="s">
        <v>53</v>
      </c>
      <c r="B92" s="407" t="s">
        <v>54</v>
      </c>
      <c r="C92" s="397">
        <v>2368.9</v>
      </c>
      <c r="D92" s="397">
        <v>2225.1140999999998</v>
      </c>
      <c r="E92" s="399">
        <f t="shared" si="2"/>
        <v>93.930267212630326</v>
      </c>
      <c r="F92" s="399">
        <f t="shared" si="3"/>
        <v>-143.78590000000031</v>
      </c>
    </row>
    <row r="93" spans="1:6" ht="21" customHeight="1">
      <c r="A93" s="406" t="s">
        <v>214</v>
      </c>
      <c r="B93" s="407" t="s">
        <v>215</v>
      </c>
      <c r="C93" s="397">
        <v>0</v>
      </c>
      <c r="D93" s="397">
        <v>0</v>
      </c>
      <c r="E93" s="399" t="e">
        <f t="shared" si="2"/>
        <v>#DIV/0!</v>
      </c>
      <c r="F93" s="399">
        <f t="shared" si="3"/>
        <v>0</v>
      </c>
    </row>
    <row r="94" spans="1:6" ht="34.5" customHeight="1">
      <c r="A94" s="406" t="s">
        <v>336</v>
      </c>
      <c r="B94" s="407" t="s">
        <v>337</v>
      </c>
      <c r="C94" s="408">
        <v>1128</v>
      </c>
      <c r="D94" s="397">
        <v>783.97077000000002</v>
      </c>
      <c r="E94" s="399">
        <f t="shared" si="2"/>
        <v>69.500954787234051</v>
      </c>
      <c r="F94" s="399">
        <f t="shared" si="3"/>
        <v>-344.02922999999998</v>
      </c>
    </row>
    <row r="95" spans="1:6" s="6" customFormat="1" ht="27" customHeight="1">
      <c r="A95" s="392" t="s">
        <v>55</v>
      </c>
      <c r="B95" s="393" t="s">
        <v>56</v>
      </c>
      <c r="C95" s="409">
        <f>SUM(C96:C101)</f>
        <v>103564.18672</v>
      </c>
      <c r="D95" s="409">
        <f>SUM(D96:D101)</f>
        <v>70757.229149999999</v>
      </c>
      <c r="E95" s="394">
        <f t="shared" si="2"/>
        <v>68.322101868382248</v>
      </c>
      <c r="F95" s="394">
        <f t="shared" si="3"/>
        <v>-32806.957569999999</v>
      </c>
    </row>
    <row r="96" spans="1:6" ht="20.25" customHeight="1">
      <c r="A96" s="395" t="s">
        <v>394</v>
      </c>
      <c r="B96" s="396" t="s">
        <v>395</v>
      </c>
      <c r="C96" s="410">
        <v>200</v>
      </c>
      <c r="D96" s="410">
        <v>200</v>
      </c>
      <c r="E96" s="399">
        <f t="shared" si="2"/>
        <v>100</v>
      </c>
      <c r="F96" s="399">
        <f t="shared" si="3"/>
        <v>0</v>
      </c>
    </row>
    <row r="97" spans="1:7" ht="0.75" customHeight="1">
      <c r="A97" s="395" t="s">
        <v>57</v>
      </c>
      <c r="B97" s="398" t="s">
        <v>58</v>
      </c>
      <c r="C97" s="410">
        <v>0</v>
      </c>
      <c r="D97" s="397">
        <v>0</v>
      </c>
      <c r="E97" s="399" t="e">
        <f t="shared" si="2"/>
        <v>#DIV/0!</v>
      </c>
      <c r="F97" s="399">
        <f t="shared" si="3"/>
        <v>0</v>
      </c>
    </row>
    <row r="98" spans="1:7" s="6" customFormat="1" ht="20.25" customHeight="1">
      <c r="A98" s="395" t="s">
        <v>57</v>
      </c>
      <c r="B98" s="398" t="s">
        <v>309</v>
      </c>
      <c r="C98" s="410">
        <v>105.9</v>
      </c>
      <c r="D98" s="397">
        <v>24.75</v>
      </c>
      <c r="E98" s="399">
        <f t="shared" si="2"/>
        <v>23.371104815864022</v>
      </c>
      <c r="F98" s="399">
        <f t="shared" si="3"/>
        <v>-81.150000000000006</v>
      </c>
      <c r="G98" s="50"/>
    </row>
    <row r="99" spans="1:7" s="6" customFormat="1" ht="20.25" customHeight="1">
      <c r="A99" s="395" t="s">
        <v>59</v>
      </c>
      <c r="B99" s="398" t="s">
        <v>389</v>
      </c>
      <c r="C99" s="410">
        <v>0</v>
      </c>
      <c r="D99" s="397">
        <v>0</v>
      </c>
      <c r="E99" s="399" t="e">
        <f t="shared" si="2"/>
        <v>#DIV/0!</v>
      </c>
      <c r="F99" s="399">
        <f t="shared" si="3"/>
        <v>0</v>
      </c>
      <c r="G99" s="50"/>
    </row>
    <row r="100" spans="1:7" ht="24" customHeight="1">
      <c r="A100" s="395" t="s">
        <v>61</v>
      </c>
      <c r="B100" s="398" t="s">
        <v>62</v>
      </c>
      <c r="C100" s="410">
        <v>100807.41486</v>
      </c>
      <c r="D100" s="397">
        <v>70216.772469999996</v>
      </c>
      <c r="E100" s="399">
        <f t="shared" si="2"/>
        <v>69.654372714066838</v>
      </c>
      <c r="F100" s="399">
        <f t="shared" si="3"/>
        <v>-30590.642390000008</v>
      </c>
    </row>
    <row r="101" spans="1:7" ht="40.5">
      <c r="A101" s="395" t="s">
        <v>63</v>
      </c>
      <c r="B101" s="398" t="s">
        <v>64</v>
      </c>
      <c r="C101" s="410">
        <v>2450.8718600000002</v>
      </c>
      <c r="D101" s="397">
        <v>315.70668000000001</v>
      </c>
      <c r="E101" s="399">
        <f t="shared" si="2"/>
        <v>12.88140294694966</v>
      </c>
      <c r="F101" s="399">
        <f t="shared" si="3"/>
        <v>-2135.16518</v>
      </c>
    </row>
    <row r="102" spans="1:7" s="6" customFormat="1" ht="20.25">
      <c r="A102" s="392" t="s">
        <v>65</v>
      </c>
      <c r="B102" s="393" t="s">
        <v>66</v>
      </c>
      <c r="C102" s="383">
        <f>SUM(C103:C105)</f>
        <v>64823.335709999999</v>
      </c>
      <c r="D102" s="383">
        <f>SUM(D103:D105)</f>
        <v>35011.634839999999</v>
      </c>
      <c r="E102" s="394">
        <f t="shared" si="2"/>
        <v>54.010850346596584</v>
      </c>
      <c r="F102" s="394">
        <f t="shared" si="3"/>
        <v>-29811.700870000001</v>
      </c>
    </row>
    <row r="103" spans="1:7" ht="20.25">
      <c r="A103" s="395" t="s">
        <v>67</v>
      </c>
      <c r="B103" s="411" t="s">
        <v>68</v>
      </c>
      <c r="C103" s="397">
        <v>500</v>
      </c>
      <c r="D103" s="397">
        <v>465.02330000000001</v>
      </c>
      <c r="E103" s="399">
        <f t="shared" si="2"/>
        <v>93.004660000000001</v>
      </c>
      <c r="F103" s="399">
        <f t="shared" si="3"/>
        <v>-34.976699999999994</v>
      </c>
    </row>
    <row r="104" spans="1:7" ht="23.25" customHeight="1">
      <c r="A104" s="395" t="s">
        <v>69</v>
      </c>
      <c r="B104" s="411" t="s">
        <v>70</v>
      </c>
      <c r="C104" s="397">
        <v>14625.56515</v>
      </c>
      <c r="D104" s="397">
        <v>11001.47078</v>
      </c>
      <c r="E104" s="399">
        <f t="shared" si="2"/>
        <v>75.220825090646144</v>
      </c>
      <c r="F104" s="399">
        <f t="shared" si="3"/>
        <v>-3624.0943700000007</v>
      </c>
    </row>
    <row r="105" spans="1:7" ht="19.5" customHeight="1">
      <c r="A105" s="395" t="s">
        <v>71</v>
      </c>
      <c r="B105" s="398" t="s">
        <v>72</v>
      </c>
      <c r="C105" s="397">
        <v>49697.770559999997</v>
      </c>
      <c r="D105" s="397">
        <v>23545.140759999998</v>
      </c>
      <c r="E105" s="399">
        <f t="shared" si="2"/>
        <v>47.376653911615627</v>
      </c>
      <c r="F105" s="399">
        <f t="shared" si="3"/>
        <v>-26152.629799999999</v>
      </c>
    </row>
    <row r="106" spans="1:7" s="6" customFormat="1" ht="20.25">
      <c r="A106" s="392" t="s">
        <v>73</v>
      </c>
      <c r="B106" s="412" t="s">
        <v>74</v>
      </c>
      <c r="C106" s="409">
        <f>SUM(C107)</f>
        <v>250</v>
      </c>
      <c r="D106" s="409">
        <f>SUM(D107)</f>
        <v>50</v>
      </c>
      <c r="E106" s="394">
        <f t="shared" si="2"/>
        <v>20</v>
      </c>
      <c r="F106" s="394">
        <f t="shared" si="3"/>
        <v>-200</v>
      </c>
    </row>
    <row r="107" spans="1:7" ht="40.5">
      <c r="A107" s="395" t="s">
        <v>75</v>
      </c>
      <c r="B107" s="411" t="s">
        <v>76</v>
      </c>
      <c r="C107" s="399">
        <v>250</v>
      </c>
      <c r="D107" s="400">
        <v>50</v>
      </c>
      <c r="E107" s="399">
        <f t="shared" si="2"/>
        <v>20</v>
      </c>
      <c r="F107" s="399">
        <f t="shared" si="3"/>
        <v>-200</v>
      </c>
    </row>
    <row r="108" spans="1:7" s="6" customFormat="1" ht="20.25">
      <c r="A108" s="392" t="s">
        <v>77</v>
      </c>
      <c r="B108" s="412" t="s">
        <v>78</v>
      </c>
      <c r="C108" s="409">
        <f>SUM(C109:C113)</f>
        <v>508225.06796999997</v>
      </c>
      <c r="D108" s="409">
        <f>D109+D110+D112+D113+D111</f>
        <v>399308.5546400001</v>
      </c>
      <c r="E108" s="394">
        <f t="shared" si="2"/>
        <v>78.569236309998573</v>
      </c>
      <c r="F108" s="394">
        <f t="shared" si="3"/>
        <v>-108916.51332999987</v>
      </c>
    </row>
    <row r="109" spans="1:7" ht="20.25">
      <c r="A109" s="395" t="s">
        <v>79</v>
      </c>
      <c r="B109" s="411" t="s">
        <v>246</v>
      </c>
      <c r="C109" s="410">
        <v>121235.48673</v>
      </c>
      <c r="D109" s="500">
        <v>111730.69680000001</v>
      </c>
      <c r="E109" s="399">
        <f t="shared" si="2"/>
        <v>92.160059577961832</v>
      </c>
      <c r="F109" s="399">
        <f t="shared" si="3"/>
        <v>-9504.789929999999</v>
      </c>
    </row>
    <row r="110" spans="1:7" ht="20.25">
      <c r="A110" s="395" t="s">
        <v>80</v>
      </c>
      <c r="B110" s="411" t="s">
        <v>247</v>
      </c>
      <c r="C110" s="410">
        <v>360907.35123999999</v>
      </c>
      <c r="D110" s="397">
        <v>269199.70169000002</v>
      </c>
      <c r="E110" s="399">
        <f t="shared" si="2"/>
        <v>74.589697540127062</v>
      </c>
      <c r="F110" s="399">
        <f t="shared" si="3"/>
        <v>-91707.649549999973</v>
      </c>
    </row>
    <row r="111" spans="1:7" ht="20.25">
      <c r="A111" s="395" t="s">
        <v>318</v>
      </c>
      <c r="B111" s="411" t="s">
        <v>319</v>
      </c>
      <c r="C111" s="410">
        <v>21428.93</v>
      </c>
      <c r="D111" s="397">
        <v>15554.83649</v>
      </c>
      <c r="E111" s="399">
        <f t="shared" si="2"/>
        <v>72.58802231375995</v>
      </c>
      <c r="F111" s="399">
        <f t="shared" si="3"/>
        <v>-5874.0935100000006</v>
      </c>
    </row>
    <row r="112" spans="1:7" ht="20.25">
      <c r="A112" s="395" t="s">
        <v>81</v>
      </c>
      <c r="B112" s="411" t="s">
        <v>248</v>
      </c>
      <c r="C112" s="410">
        <v>1384</v>
      </c>
      <c r="D112" s="397">
        <v>131.0925</v>
      </c>
      <c r="E112" s="399">
        <f t="shared" si="2"/>
        <v>9.4720014450867058</v>
      </c>
      <c r="F112" s="399">
        <f t="shared" si="3"/>
        <v>-1252.9075</v>
      </c>
    </row>
    <row r="113" spans="1:7" ht="20.25">
      <c r="A113" s="395" t="s">
        <v>82</v>
      </c>
      <c r="B113" s="411" t="s">
        <v>249</v>
      </c>
      <c r="C113" s="410">
        <v>3269.3</v>
      </c>
      <c r="D113" s="397">
        <v>2692.2271599999999</v>
      </c>
      <c r="E113" s="399">
        <f t="shared" si="2"/>
        <v>82.348733979751003</v>
      </c>
      <c r="F113" s="399">
        <f t="shared" si="3"/>
        <v>-577.07284000000027</v>
      </c>
    </row>
    <row r="114" spans="1:7" s="6" customFormat="1" ht="20.25">
      <c r="A114" s="392" t="s">
        <v>83</v>
      </c>
      <c r="B114" s="393" t="s">
        <v>84</v>
      </c>
      <c r="C114" s="383">
        <f>SUM(C115:C116)</f>
        <v>82045.630980000002</v>
      </c>
      <c r="D114" s="383">
        <f>SUM(D115:D116)</f>
        <v>60740.468760000003</v>
      </c>
      <c r="E114" s="394">
        <f t="shared" si="2"/>
        <v>74.032545102622848</v>
      </c>
      <c r="F114" s="394">
        <f t="shared" si="3"/>
        <v>-21305.162219999998</v>
      </c>
    </row>
    <row r="115" spans="1:7" ht="20.25">
      <c r="A115" s="395" t="s">
        <v>85</v>
      </c>
      <c r="B115" s="398" t="s">
        <v>229</v>
      </c>
      <c r="C115" s="397">
        <v>80968.680980000005</v>
      </c>
      <c r="D115" s="397">
        <v>60068.071490000002</v>
      </c>
      <c r="E115" s="399">
        <f t="shared" si="2"/>
        <v>74.186797614793008</v>
      </c>
      <c r="F115" s="399">
        <f t="shared" si="3"/>
        <v>-20900.609490000003</v>
      </c>
    </row>
    <row r="116" spans="1:7" ht="40.5">
      <c r="A116" s="395" t="s">
        <v>258</v>
      </c>
      <c r="B116" s="398" t="s">
        <v>259</v>
      </c>
      <c r="C116" s="397">
        <v>1076.95</v>
      </c>
      <c r="D116" s="397">
        <v>672.39727000000005</v>
      </c>
      <c r="E116" s="399">
        <f t="shared" si="2"/>
        <v>62.435328473931008</v>
      </c>
      <c r="F116" s="399">
        <f t="shared" si="3"/>
        <v>-404.55273</v>
      </c>
    </row>
    <row r="117" spans="1:7" s="6" customFormat="1" ht="20.25">
      <c r="A117" s="413">
        <v>1000</v>
      </c>
      <c r="B117" s="393" t="s">
        <v>86</v>
      </c>
      <c r="C117" s="383">
        <f>SUM(C118:C121)</f>
        <v>37705.953709999994</v>
      </c>
      <c r="D117" s="478">
        <f>D118+D119+D120+D121</f>
        <v>30303.625939999998</v>
      </c>
      <c r="E117" s="394">
        <f t="shared" si="2"/>
        <v>80.368278635962938</v>
      </c>
      <c r="F117" s="394">
        <f t="shared" si="3"/>
        <v>-7402.3277699999962</v>
      </c>
      <c r="G117" s="94"/>
    </row>
    <row r="118" spans="1:7" ht="20.25">
      <c r="A118" s="414">
        <v>1001</v>
      </c>
      <c r="B118" s="415" t="s">
        <v>87</v>
      </c>
      <c r="C118" s="397">
        <v>60</v>
      </c>
      <c r="D118" s="397">
        <v>58.749740000000003</v>
      </c>
      <c r="E118" s="399">
        <f t="shared" si="2"/>
        <v>97.916233333333338</v>
      </c>
      <c r="F118" s="399">
        <f t="shared" si="3"/>
        <v>-1.2502599999999973</v>
      </c>
    </row>
    <row r="119" spans="1:7" ht="20.25">
      <c r="A119" s="414">
        <v>1003</v>
      </c>
      <c r="B119" s="415" t="s">
        <v>88</v>
      </c>
      <c r="C119" s="397">
        <v>9866.9282800000001</v>
      </c>
      <c r="D119" s="397">
        <v>8479.09843</v>
      </c>
      <c r="E119" s="399">
        <f t="shared" si="2"/>
        <v>85.934529869715433</v>
      </c>
      <c r="F119" s="399">
        <f t="shared" si="3"/>
        <v>-1387.8298500000001</v>
      </c>
    </row>
    <row r="120" spans="1:7" ht="20.25">
      <c r="A120" s="414">
        <v>1004</v>
      </c>
      <c r="B120" s="415" t="s">
        <v>89</v>
      </c>
      <c r="C120" s="397">
        <v>27628.425429999999</v>
      </c>
      <c r="D120" s="446">
        <v>21651.984049999999</v>
      </c>
      <c r="E120" s="399">
        <f t="shared" si="2"/>
        <v>78.368505309352329</v>
      </c>
      <c r="F120" s="399">
        <f t="shared" si="3"/>
        <v>-5976.4413800000002</v>
      </c>
    </row>
    <row r="121" spans="1:7" ht="20.25" customHeight="1">
      <c r="A121" s="395" t="s">
        <v>90</v>
      </c>
      <c r="B121" s="398" t="s">
        <v>91</v>
      </c>
      <c r="C121" s="397">
        <v>150.6</v>
      </c>
      <c r="D121" s="397">
        <v>113.79371999999999</v>
      </c>
      <c r="E121" s="399">
        <f t="shared" si="2"/>
        <v>75.560239043824694</v>
      </c>
      <c r="F121" s="399">
        <f t="shared" si="3"/>
        <v>-36.806280000000001</v>
      </c>
    </row>
    <row r="122" spans="1:7" ht="20.25">
      <c r="A122" s="392" t="s">
        <v>92</v>
      </c>
      <c r="B122" s="393" t="s">
        <v>93</v>
      </c>
      <c r="C122" s="383">
        <f>C123+C124</f>
        <v>9328.6350000000002</v>
      </c>
      <c r="D122" s="383">
        <f>D123+D124</f>
        <v>6213.6663900000003</v>
      </c>
      <c r="E122" s="399">
        <f t="shared" si="2"/>
        <v>66.608527292578174</v>
      </c>
      <c r="F122" s="383">
        <f>F123+F124+F125+F126+F127</f>
        <v>-3114.9686099999999</v>
      </c>
    </row>
    <row r="123" spans="1:7" ht="20.25">
      <c r="A123" s="395" t="s">
        <v>94</v>
      </c>
      <c r="B123" s="398" t="s">
        <v>95</v>
      </c>
      <c r="C123" s="397">
        <v>450</v>
      </c>
      <c r="D123" s="397">
        <v>228.56675000000001</v>
      </c>
      <c r="E123" s="399">
        <f t="shared" si="2"/>
        <v>50.792611111111121</v>
      </c>
      <c r="F123" s="399">
        <f t="shared" ref="F123:F131" si="4">SUM(D123-C123)</f>
        <v>-221.43324999999999</v>
      </c>
    </row>
    <row r="124" spans="1:7" ht="20.25" customHeight="1">
      <c r="A124" s="395" t="s">
        <v>96</v>
      </c>
      <c r="B124" s="398" t="s">
        <v>97</v>
      </c>
      <c r="C124" s="397">
        <v>8878.6350000000002</v>
      </c>
      <c r="D124" s="397">
        <v>5985.0996400000004</v>
      </c>
      <c r="E124" s="399">
        <f t="shared" si="2"/>
        <v>67.41013275126187</v>
      </c>
      <c r="F124" s="399">
        <f t="shared" si="4"/>
        <v>-2893.5353599999999</v>
      </c>
    </row>
    <row r="125" spans="1:7" ht="21" customHeight="1">
      <c r="A125" s="395" t="s">
        <v>98</v>
      </c>
      <c r="B125" s="398" t="s">
        <v>99</v>
      </c>
      <c r="C125" s="397">
        <v>0</v>
      </c>
      <c r="D125" s="397">
        <v>0</v>
      </c>
      <c r="E125" s="399" t="e">
        <f t="shared" si="2"/>
        <v>#DIV/0!</v>
      </c>
      <c r="F125" s="399"/>
    </row>
    <row r="126" spans="1:7" ht="21" customHeight="1">
      <c r="A126" s="395" t="s">
        <v>100</v>
      </c>
      <c r="B126" s="398" t="s">
        <v>101</v>
      </c>
      <c r="C126" s="397"/>
      <c r="D126" s="397"/>
      <c r="E126" s="399" t="e">
        <f t="shared" si="2"/>
        <v>#DIV/0!</v>
      </c>
      <c r="F126" s="399"/>
    </row>
    <row r="127" spans="1:7" ht="21" customHeight="1">
      <c r="A127" s="395" t="s">
        <v>102</v>
      </c>
      <c r="B127" s="398" t="s">
        <v>103</v>
      </c>
      <c r="C127" s="397"/>
      <c r="D127" s="397"/>
      <c r="E127" s="399" t="e">
        <f t="shared" si="2"/>
        <v>#DIV/0!</v>
      </c>
      <c r="F127" s="399"/>
    </row>
    <row r="128" spans="1:7" ht="20.25" customHeight="1">
      <c r="A128" s="392" t="s">
        <v>104</v>
      </c>
      <c r="B128" s="393" t="s">
        <v>105</v>
      </c>
      <c r="C128" s="383">
        <f>C129</f>
        <v>45</v>
      </c>
      <c r="D128" s="447">
        <f>D129</f>
        <v>0</v>
      </c>
      <c r="E128" s="399">
        <f>SUM(D128/C128*100)</f>
        <v>0</v>
      </c>
      <c r="F128" s="399">
        <f t="shared" si="4"/>
        <v>-45</v>
      </c>
    </row>
    <row r="129" spans="1:8" ht="22.5" customHeight="1">
      <c r="A129" s="395" t="s">
        <v>106</v>
      </c>
      <c r="B129" s="398" t="s">
        <v>107</v>
      </c>
      <c r="C129" s="397">
        <v>45</v>
      </c>
      <c r="D129" s="397">
        <v>0</v>
      </c>
      <c r="E129" s="399">
        <f t="shared" si="2"/>
        <v>0</v>
      </c>
      <c r="F129" s="399">
        <f t="shared" si="4"/>
        <v>-45</v>
      </c>
    </row>
    <row r="130" spans="1:8" ht="19.5" customHeight="1">
      <c r="A130" s="392" t="s">
        <v>108</v>
      </c>
      <c r="B130" s="402" t="s">
        <v>109</v>
      </c>
      <c r="C130" s="416">
        <f>C131</f>
        <v>0</v>
      </c>
      <c r="D130" s="416">
        <v>0</v>
      </c>
      <c r="E130" s="399"/>
      <c r="F130" s="394">
        <f t="shared" si="4"/>
        <v>0</v>
      </c>
    </row>
    <row r="131" spans="1:8" ht="37.5" hidden="1" customHeight="1">
      <c r="A131" s="395" t="s">
        <v>110</v>
      </c>
      <c r="B131" s="404" t="s">
        <v>111</v>
      </c>
      <c r="C131" s="400">
        <v>0</v>
      </c>
      <c r="D131" s="400">
        <v>0</v>
      </c>
      <c r="E131" s="394"/>
      <c r="F131" s="399">
        <f t="shared" si="4"/>
        <v>0</v>
      </c>
    </row>
    <row r="132" spans="1:8" s="6" customFormat="1" ht="19.5" customHeight="1">
      <c r="A132" s="413">
        <v>1400</v>
      </c>
      <c r="B132" s="417" t="s">
        <v>112</v>
      </c>
      <c r="C132" s="409">
        <f>C133+C134+C135</f>
        <v>60722.852530000004</v>
      </c>
      <c r="D132" s="409">
        <f>D133+D134+D135</f>
        <v>42220.783840000004</v>
      </c>
      <c r="E132" s="394">
        <f t="shared" si="2"/>
        <v>69.530303799777698</v>
      </c>
      <c r="F132" s="394">
        <f t="shared" si="3"/>
        <v>-18502.06869</v>
      </c>
    </row>
    <row r="133" spans="1:8" ht="40.5" customHeight="1">
      <c r="A133" s="414">
        <v>1401</v>
      </c>
      <c r="B133" s="415" t="s">
        <v>113</v>
      </c>
      <c r="C133" s="410">
        <v>29508</v>
      </c>
      <c r="D133" s="397">
        <v>27048.5435</v>
      </c>
      <c r="E133" s="399">
        <f t="shared" si="2"/>
        <v>91.665119628575297</v>
      </c>
      <c r="F133" s="399">
        <f t="shared" si="3"/>
        <v>-2459.4565000000002</v>
      </c>
    </row>
    <row r="134" spans="1:8" ht="24.75" customHeight="1">
      <c r="A134" s="414">
        <v>1402</v>
      </c>
      <c r="B134" s="415" t="s">
        <v>114</v>
      </c>
      <c r="C134" s="410">
        <v>8843.45766</v>
      </c>
      <c r="D134" s="397">
        <v>6349.7349999999997</v>
      </c>
      <c r="E134" s="399">
        <f t="shared" si="2"/>
        <v>71.801497153320454</v>
      </c>
      <c r="F134" s="399">
        <f t="shared" si="3"/>
        <v>-2493.7226600000004</v>
      </c>
    </row>
    <row r="135" spans="1:8" ht="27" customHeight="1">
      <c r="A135" s="414">
        <v>1403</v>
      </c>
      <c r="B135" s="415" t="s">
        <v>115</v>
      </c>
      <c r="C135" s="410">
        <v>22371.39487</v>
      </c>
      <c r="D135" s="397">
        <v>8822.5053399999997</v>
      </c>
      <c r="E135" s="399">
        <f t="shared" si="2"/>
        <v>39.436545603291655</v>
      </c>
      <c r="F135" s="399">
        <f t="shared" si="3"/>
        <v>-13548.88953</v>
      </c>
    </row>
    <row r="136" spans="1:8" s="6" customFormat="1" ht="20.25">
      <c r="A136" s="413"/>
      <c r="B136" s="418" t="s">
        <v>116</v>
      </c>
      <c r="C136" s="483">
        <f>C79+C87+C89+C95+C102+C106+C108+C114+C117+C122+C128+C130+C132</f>
        <v>932831.52230000007</v>
      </c>
      <c r="D136" s="483">
        <f>D79+D87+D89+D95+D102+D106+D108+D114+D117+D122+D128+D130+D132</f>
        <v>693191.04604000016</v>
      </c>
      <c r="E136" s="394">
        <f t="shared" si="2"/>
        <v>74.310422564930093</v>
      </c>
      <c r="F136" s="394">
        <f t="shared" si="3"/>
        <v>-239640.47625999991</v>
      </c>
      <c r="G136" s="94"/>
      <c r="H136" s="94"/>
    </row>
    <row r="137" spans="1:8" ht="20.25">
      <c r="A137" s="419"/>
      <c r="B137" s="420"/>
      <c r="C137" s="421"/>
      <c r="D137" s="432"/>
      <c r="E137" s="422"/>
      <c r="F137" s="422"/>
    </row>
    <row r="138" spans="1:8" s="65" customFormat="1" ht="20.25">
      <c r="A138" s="423" t="s">
        <v>441</v>
      </c>
      <c r="B138" s="423"/>
      <c r="C138" s="424"/>
      <c r="D138" s="424"/>
      <c r="E138" s="425"/>
      <c r="F138" s="425"/>
    </row>
    <row r="139" spans="1:8" s="65" customFormat="1" ht="20.25">
      <c r="A139" s="426" t="s">
        <v>442</v>
      </c>
      <c r="B139" s="426"/>
      <c r="C139" s="424"/>
      <c r="D139" s="424"/>
      <c r="E139" s="424" t="s">
        <v>119</v>
      </c>
      <c r="F139" s="425"/>
    </row>
  </sheetData>
  <customSheetViews>
    <customSheetView guid="{5BFCA170-DEAE-4D2C-98A0-1E68B427AC01}" scale="67" showPageBreaks="1" hiddenRow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1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2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3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5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6"/>
      <headerFooter alignWithMargins="0"/>
    </customSheetView>
    <customSheetView guid="{B30CE22D-C12F-4E12-8BB9-3AAE0A6991CC}" scale="60" showPageBreaks="1" printArea="1" hiddenRows="1" view="pageBreakPreview">
      <selection activeCell="D4" sqref="D4"/>
      <rowBreaks count="1" manualBreakCount="1">
        <brk id="73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7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61528DAC-5C4C-48F4-ADE2-8A724B05A086}" scale="60" showPageBreaks="1" printArea="1" hiddenRows="1" view="pageBreakPreview" topLeftCell="A40">
      <selection activeCell="D10" sqref="D10"/>
      <rowBreaks count="1" manualBreakCount="1">
        <brk id="75" max="5" man="1"/>
      </rowBreaks>
      <pageMargins left="0.59055118110236227" right="0.55118110236220474" top="0.15748031496062992" bottom="0.15748031496062992" header="0.15748031496062992" footer="0.27559055118110237"/>
      <pageSetup paperSize="9" scale="50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50" orientation="portrait" r:id="rId10"/>
  <headerFooter alignWithMargins="0"/>
  <rowBreaks count="1" manualBreakCount="1">
    <brk id="7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SheetLayoutView="70" workbookViewId="0">
      <selection activeCell="C85" sqref="C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46" t="s">
        <v>417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615.48</v>
      </c>
      <c r="D4" s="5">
        <f>D5+D12+D14+D17+D20+D7</f>
        <v>548.24873000000002</v>
      </c>
      <c r="E4" s="5">
        <f>SUM(D4/C4*100)</f>
        <v>89.076611750178728</v>
      </c>
      <c r="F4" s="5">
        <f>SUM(D4-C4)</f>
        <v>-67.231269999999995</v>
      </c>
    </row>
    <row r="5" spans="1:6" s="6" customFormat="1">
      <c r="A5" s="68">
        <v>1010000000</v>
      </c>
      <c r="B5" s="67" t="s">
        <v>5</v>
      </c>
      <c r="C5" s="5">
        <f>C6</f>
        <v>89.8</v>
      </c>
      <c r="D5" s="5">
        <f>D6</f>
        <v>53.323749999999997</v>
      </c>
      <c r="E5" s="5">
        <f t="shared" ref="E5:E47" si="0">SUM(D5/C5*100)</f>
        <v>59.380567928730507</v>
      </c>
      <c r="F5" s="5">
        <f t="shared" ref="F5:F47" si="1">SUM(D5-C5)</f>
        <v>-36.47625</v>
      </c>
    </row>
    <row r="6" spans="1:6">
      <c r="A6" s="7">
        <v>1010200001</v>
      </c>
      <c r="B6" s="8" t="s">
        <v>224</v>
      </c>
      <c r="C6" s="9">
        <v>89.8</v>
      </c>
      <c r="D6" s="10">
        <v>53.323749999999997</v>
      </c>
      <c r="E6" s="9">
        <f t="shared" ref="E6:E11" si="2">SUM(D6/C6*100)</f>
        <v>59.380567928730507</v>
      </c>
      <c r="F6" s="9">
        <f t="shared" si="1"/>
        <v>-36.47625</v>
      </c>
    </row>
    <row r="7" spans="1:6" ht="31.5">
      <c r="A7" s="3">
        <v>1030000000</v>
      </c>
      <c r="B7" s="13" t="s">
        <v>266</v>
      </c>
      <c r="C7" s="5">
        <f>C8+C10+C9</f>
        <v>256.67999999999995</v>
      </c>
      <c r="D7" s="5">
        <f>D8+D10+D9+D11</f>
        <v>223.87129000000002</v>
      </c>
      <c r="E7" s="9">
        <f t="shared" si="2"/>
        <v>87.218049711703316</v>
      </c>
      <c r="F7" s="9">
        <f t="shared" si="1"/>
        <v>-32.808709999999934</v>
      </c>
    </row>
    <row r="8" spans="1:6">
      <c r="A8" s="7">
        <v>1030223001</v>
      </c>
      <c r="B8" s="8" t="s">
        <v>268</v>
      </c>
      <c r="C8" s="9">
        <v>95.74</v>
      </c>
      <c r="D8" s="10">
        <v>103.1341</v>
      </c>
      <c r="E8" s="9">
        <f t="shared" si="2"/>
        <v>107.72310424065176</v>
      </c>
      <c r="F8" s="9">
        <f t="shared" si="1"/>
        <v>7.3941000000000088</v>
      </c>
    </row>
    <row r="9" spans="1:6">
      <c r="A9" s="7">
        <v>1030224001</v>
      </c>
      <c r="B9" s="8" t="s">
        <v>272</v>
      </c>
      <c r="C9" s="9">
        <v>1.03</v>
      </c>
      <c r="D9" s="10">
        <v>0.73990999999999996</v>
      </c>
      <c r="E9" s="9">
        <f t="shared" si="2"/>
        <v>71.835922330097077</v>
      </c>
      <c r="F9" s="9">
        <f t="shared" si="1"/>
        <v>-0.29009000000000007</v>
      </c>
    </row>
    <row r="10" spans="1:6">
      <c r="A10" s="7">
        <v>1030225001</v>
      </c>
      <c r="B10" s="8" t="s">
        <v>267</v>
      </c>
      <c r="C10" s="9">
        <v>159.91</v>
      </c>
      <c r="D10" s="10">
        <v>138.57374999999999</v>
      </c>
      <c r="E10" s="9">
        <f t="shared" si="2"/>
        <v>86.657338502907876</v>
      </c>
      <c r="F10" s="9">
        <f t="shared" si="1"/>
        <v>-21.336250000000007</v>
      </c>
    </row>
    <row r="11" spans="1:6">
      <c r="A11" s="7">
        <v>1030226001</v>
      </c>
      <c r="B11" s="8" t="s">
        <v>273</v>
      </c>
      <c r="C11" s="9">
        <v>0</v>
      </c>
      <c r="D11" s="10">
        <v>-18.57647</v>
      </c>
      <c r="E11" s="9" t="e">
        <f t="shared" si="2"/>
        <v>#DIV/0!</v>
      </c>
      <c r="F11" s="9">
        <f t="shared" si="1"/>
        <v>-18.57647</v>
      </c>
    </row>
    <row r="12" spans="1:6" s="6" customFormat="1">
      <c r="A12" s="68">
        <v>1050000000</v>
      </c>
      <c r="B12" s="67" t="s">
        <v>6</v>
      </c>
      <c r="C12" s="5">
        <f>C13</f>
        <v>35</v>
      </c>
      <c r="D12" s="5">
        <f>D13</f>
        <v>24.1173</v>
      </c>
      <c r="E12" s="5">
        <f t="shared" si="0"/>
        <v>68.906571428571425</v>
      </c>
      <c r="F12" s="5">
        <f t="shared" si="1"/>
        <v>-10.8827</v>
      </c>
    </row>
    <row r="13" spans="1:6" ht="15.75" customHeight="1">
      <c r="A13" s="7">
        <v>1050300000</v>
      </c>
      <c r="B13" s="11" t="s">
        <v>225</v>
      </c>
      <c r="C13" s="12">
        <v>35</v>
      </c>
      <c r="D13" s="10">
        <v>24.1173</v>
      </c>
      <c r="E13" s="9">
        <f t="shared" si="0"/>
        <v>68.906571428571425</v>
      </c>
      <c r="F13" s="9">
        <f t="shared" si="1"/>
        <v>-10.8827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231</v>
      </c>
      <c r="D14" s="5">
        <f>D15+D16</f>
        <v>245.03638999999998</v>
      </c>
      <c r="E14" s="5">
        <f t="shared" si="0"/>
        <v>106.0763593073593</v>
      </c>
      <c r="F14" s="5">
        <f t="shared" si="1"/>
        <v>14.036389999999983</v>
      </c>
    </row>
    <row r="15" spans="1:6" s="6" customFormat="1" ht="15.75" customHeight="1">
      <c r="A15" s="7">
        <v>1060100000</v>
      </c>
      <c r="B15" s="11" t="s">
        <v>8</v>
      </c>
      <c r="C15" s="9">
        <v>38</v>
      </c>
      <c r="D15" s="10">
        <v>24.048400000000001</v>
      </c>
      <c r="E15" s="9">
        <f t="shared" si="0"/>
        <v>63.285263157894747</v>
      </c>
      <c r="F15" s="9">
        <f>SUM(D15-C15)</f>
        <v>-13.951599999999999</v>
      </c>
    </row>
    <row r="16" spans="1:6" ht="15" customHeight="1">
      <c r="A16" s="7">
        <v>1060600000</v>
      </c>
      <c r="B16" s="11" t="s">
        <v>7</v>
      </c>
      <c r="C16" s="9">
        <v>193</v>
      </c>
      <c r="D16" s="10">
        <v>220.98799</v>
      </c>
      <c r="E16" s="9">
        <f t="shared" si="0"/>
        <v>114.50154922279792</v>
      </c>
      <c r="F16" s="9">
        <f t="shared" si="1"/>
        <v>27.987989999999996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1.9</v>
      </c>
      <c r="E17" s="9">
        <f t="shared" si="0"/>
        <v>63.333333333333329</v>
      </c>
      <c r="F17" s="5">
        <f t="shared" si="1"/>
        <v>-1.1000000000000001</v>
      </c>
    </row>
    <row r="18" spans="1:6" ht="18.75" customHeight="1">
      <c r="A18" s="7">
        <v>1080402001</v>
      </c>
      <c r="B18" s="8" t="s">
        <v>223</v>
      </c>
      <c r="C18" s="9">
        <v>3</v>
      </c>
      <c r="D18" s="10">
        <v>1.9</v>
      </c>
      <c r="E18" s="9">
        <f t="shared" si="0"/>
        <v>63.333333333333329</v>
      </c>
      <c r="F18" s="9">
        <f t="shared" si="1"/>
        <v>-1.1000000000000001</v>
      </c>
    </row>
    <row r="19" spans="1:6" ht="15" hidden="1" customHeight="1">
      <c r="A19" s="7">
        <v>1080714001</v>
      </c>
      <c r="B19" s="8" t="s">
        <v>222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226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54.3</v>
      </c>
      <c r="D25" s="5">
        <f>D26+D31+D34+D29</f>
        <v>35.055120000000002</v>
      </c>
      <c r="E25" s="5">
        <f t="shared" si="0"/>
        <v>64.558232044198903</v>
      </c>
      <c r="F25" s="5">
        <f t="shared" si="1"/>
        <v>-19.244879999999995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54.3</v>
      </c>
      <c r="D26" s="5">
        <f>D27+D28</f>
        <v>8.0466800000000003</v>
      </c>
      <c r="E26" s="5">
        <f t="shared" si="0"/>
        <v>14.818931860036832</v>
      </c>
      <c r="F26" s="5">
        <f t="shared" si="1"/>
        <v>-46.253319999999995</v>
      </c>
    </row>
    <row r="27" spans="1:6" ht="22.5" customHeight="1">
      <c r="A27" s="16">
        <v>1110502000</v>
      </c>
      <c r="B27" s="17" t="s">
        <v>221</v>
      </c>
      <c r="C27" s="12">
        <v>54.3</v>
      </c>
      <c r="D27" s="10">
        <v>8.0466800000000003</v>
      </c>
      <c r="E27" s="9">
        <f t="shared" si="0"/>
        <v>14.818931860036832</v>
      </c>
      <c r="F27" s="9">
        <f t="shared" si="1"/>
        <v>-46.253319999999995</v>
      </c>
    </row>
    <row r="28" spans="1:6" hidden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27.00844</v>
      </c>
      <c r="E29" s="9" t="e">
        <f t="shared" si="0"/>
        <v>#DIV/0!</v>
      </c>
      <c r="F29" s="5">
        <f t="shared" si="1"/>
        <v>27.00844</v>
      </c>
    </row>
    <row r="30" spans="1:6" ht="30.75" customHeight="1">
      <c r="A30" s="7">
        <v>1130200000</v>
      </c>
      <c r="B30" s="8" t="s">
        <v>219</v>
      </c>
      <c r="C30" s="9">
        <v>0</v>
      </c>
      <c r="D30" s="10">
        <v>27.00844</v>
      </c>
      <c r="E30" s="9" t="e">
        <f t="shared" si="0"/>
        <v>#DIV/0!</v>
      </c>
      <c r="F30" s="9">
        <f t="shared" si="1"/>
        <v>27.00844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49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7">
        <f>C25+C4</f>
        <v>669.78</v>
      </c>
      <c r="D37" s="127">
        <f>SUM(D4,D25)</f>
        <v>583.30385000000001</v>
      </c>
      <c r="E37" s="5">
        <f t="shared" si="0"/>
        <v>87.088872465585723</v>
      </c>
      <c r="F37" s="5">
        <f t="shared" si="1"/>
        <v>-86.476149999999961</v>
      </c>
    </row>
    <row r="38" spans="1:11" s="6" customFormat="1">
      <c r="A38" s="3">
        <v>2000000000</v>
      </c>
      <c r="B38" s="4" t="s">
        <v>17</v>
      </c>
      <c r="C38" s="194">
        <f>C39+C40+C41+C42+C43+C44</f>
        <v>3345.5140000000001</v>
      </c>
      <c r="D38" s="495">
        <f>D39+D40+D41+D42+D43+D45+D44</f>
        <v>2576.335</v>
      </c>
      <c r="E38" s="5">
        <f t="shared" si="0"/>
        <v>77.008645009406635</v>
      </c>
      <c r="F38" s="5">
        <f t="shared" si="1"/>
        <v>-769.17900000000009</v>
      </c>
      <c r="G38" s="19"/>
    </row>
    <row r="39" spans="1:11">
      <c r="A39" s="16">
        <v>2021000000</v>
      </c>
      <c r="B39" s="17" t="s">
        <v>18</v>
      </c>
      <c r="C39" s="225">
        <v>1194.4000000000001</v>
      </c>
      <c r="D39" s="20">
        <v>1094.8520000000001</v>
      </c>
      <c r="E39" s="9">
        <f t="shared" si="0"/>
        <v>91.665438713998654</v>
      </c>
      <c r="F39" s="9">
        <f t="shared" si="1"/>
        <v>-99.548000000000002</v>
      </c>
    </row>
    <row r="40" spans="1:11">
      <c r="A40" s="16">
        <v>2021500200</v>
      </c>
      <c r="B40" s="17" t="s">
        <v>227</v>
      </c>
      <c r="C40" s="222">
        <v>600</v>
      </c>
      <c r="D40" s="20">
        <v>600</v>
      </c>
      <c r="E40" s="9">
        <f>SUM(D40/C40*100)</f>
        <v>100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22">
        <v>751.93</v>
      </c>
      <c r="D41" s="10">
        <v>91.141000000000005</v>
      </c>
      <c r="E41" s="9">
        <f t="shared" si="0"/>
        <v>12.120942108972912</v>
      </c>
      <c r="F41" s="9">
        <f t="shared" si="1"/>
        <v>-660.78899999999999</v>
      </c>
    </row>
    <row r="42" spans="1:11" ht="19.5" customHeight="1">
      <c r="A42" s="16">
        <v>2023000000</v>
      </c>
      <c r="B42" s="17" t="s">
        <v>20</v>
      </c>
      <c r="C42" s="222">
        <v>99.183999999999997</v>
      </c>
      <c r="D42" s="187">
        <v>90.341999999999999</v>
      </c>
      <c r="E42" s="9">
        <f t="shared" si="0"/>
        <v>91.085255686401041</v>
      </c>
      <c r="F42" s="9">
        <f t="shared" si="1"/>
        <v>-8.8419999999999987</v>
      </c>
    </row>
    <row r="43" spans="1:11">
      <c r="A43" s="7">
        <v>2070500010</v>
      </c>
      <c r="B43" s="17" t="s">
        <v>335</v>
      </c>
      <c r="C43" s="222">
        <v>0</v>
      </c>
      <c r="D43" s="188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22">
        <v>700</v>
      </c>
      <c r="D44" s="188">
        <v>700</v>
      </c>
      <c r="E44" s="9">
        <f t="shared" si="0"/>
        <v>100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30">
        <v>0</v>
      </c>
      <c r="D45" s="219">
        <v>0</v>
      </c>
      <c r="E45" s="5" t="e">
        <f t="shared" si="0"/>
        <v>#DIV/0!</v>
      </c>
      <c r="F45" s="5">
        <f>SUM(D45-C45)</f>
        <v>0</v>
      </c>
    </row>
    <row r="46" spans="1:11" s="431" customFormat="1" ht="19.5" hidden="1" customHeight="1">
      <c r="A46" s="3">
        <v>3000000000</v>
      </c>
      <c r="B46" s="13" t="s">
        <v>24</v>
      </c>
      <c r="C46" s="231">
        <v>0</v>
      </c>
      <c r="D46" s="232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66"/>
      <c r="B47" s="267" t="s">
        <v>25</v>
      </c>
      <c r="C47" s="474">
        <f>C37+C38</f>
        <v>4015.2939999999999</v>
      </c>
      <c r="D47" s="496">
        <f>D37+D38</f>
        <v>3159.6388500000003</v>
      </c>
      <c r="E47" s="268">
        <f t="shared" si="0"/>
        <v>78.69009965397305</v>
      </c>
      <c r="F47" s="268">
        <f t="shared" si="1"/>
        <v>-855.65514999999959</v>
      </c>
      <c r="G47" s="200"/>
      <c r="H47" s="200"/>
      <c r="K47" s="130"/>
    </row>
    <row r="48" spans="1:11" s="6" customFormat="1">
      <c r="A48" s="3"/>
      <c r="B48" s="21" t="s">
        <v>307</v>
      </c>
      <c r="C48" s="5">
        <f>C47-C94</f>
        <v>-154.75804000000062</v>
      </c>
      <c r="D48" s="5">
        <f>D47-D94</f>
        <v>898.42540000000008</v>
      </c>
      <c r="E48" s="22"/>
      <c r="F48" s="22"/>
    </row>
    <row r="49" spans="1:6">
      <c r="A49" s="23"/>
      <c r="B49" s="24"/>
      <c r="C49" s="186"/>
      <c r="D49" s="186"/>
      <c r="E49" s="26"/>
      <c r="F49" s="92"/>
    </row>
    <row r="50" spans="1:6" ht="50.25" customHeight="1">
      <c r="A50" s="28" t="s">
        <v>0</v>
      </c>
      <c r="B50" s="28" t="s">
        <v>26</v>
      </c>
      <c r="C50" s="179" t="s">
        <v>398</v>
      </c>
      <c r="D50" s="180" t="s">
        <v>416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1157.7750000000001</v>
      </c>
      <c r="D52" s="22">
        <f>D54+D57+D58+D59</f>
        <v>843.14583000000005</v>
      </c>
      <c r="E52" s="34">
        <f>SUM(D52/C52*100)</f>
        <v>72.824670596618517</v>
      </c>
      <c r="F52" s="34">
        <f>SUM(D52-C52)</f>
        <v>-314.62917000000004</v>
      </c>
    </row>
    <row r="53" spans="1:6" s="6" customFormat="1" ht="31.5">
      <c r="A53" s="35" t="s">
        <v>29</v>
      </c>
      <c r="B53" s="36" t="s">
        <v>30</v>
      </c>
      <c r="C53" s="92"/>
      <c r="D53" s="92"/>
      <c r="E53" s="38"/>
      <c r="F53" s="38"/>
    </row>
    <row r="54" spans="1:6" ht="16.5" customHeight="1">
      <c r="A54" s="35" t="s">
        <v>31</v>
      </c>
      <c r="B54" s="39" t="s">
        <v>32</v>
      </c>
      <c r="C54" s="92">
        <v>1114</v>
      </c>
      <c r="D54" s="92">
        <v>825.64583000000005</v>
      </c>
      <c r="E54" s="38">
        <f>SUM(D54/C54*100)</f>
        <v>74.115424596050275</v>
      </c>
      <c r="F54" s="38">
        <f t="shared" ref="F54:F94" si="3">SUM(D54-C54)</f>
        <v>-288.35416999999995</v>
      </c>
    </row>
    <row r="55" spans="1:6" ht="0.75" hidden="1" customHeight="1">
      <c r="A55" s="35" t="s">
        <v>33</v>
      </c>
      <c r="B55" s="39" t="s">
        <v>34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7.25" customHeight="1">
      <c r="A57" s="35" t="s">
        <v>37</v>
      </c>
      <c r="B57" s="39" t="s">
        <v>38</v>
      </c>
      <c r="C57" s="92">
        <v>12</v>
      </c>
      <c r="D57" s="92">
        <v>12</v>
      </c>
      <c r="E57" s="38">
        <f t="shared" si="4"/>
        <v>100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4">
        <v>5</v>
      </c>
      <c r="D58" s="104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41</v>
      </c>
      <c r="B59" s="39" t="s">
        <v>42</v>
      </c>
      <c r="C59" s="92">
        <v>26.774999999999999</v>
      </c>
      <c r="D59" s="92">
        <v>5.5</v>
      </c>
      <c r="E59" s="38">
        <f t="shared" si="4"/>
        <v>20.541549953314661</v>
      </c>
      <c r="F59" s="38">
        <f t="shared" si="3"/>
        <v>-21.274999999999999</v>
      </c>
    </row>
    <row r="60" spans="1:6" s="6" customFormat="1">
      <c r="A60" s="41" t="s">
        <v>43</v>
      </c>
      <c r="B60" s="42" t="s">
        <v>44</v>
      </c>
      <c r="C60" s="22">
        <f>C61</f>
        <v>99.183999999999997</v>
      </c>
      <c r="D60" s="22">
        <f>D61</f>
        <v>84.115279999999998</v>
      </c>
      <c r="E60" s="34">
        <f t="shared" si="4"/>
        <v>84.807307630262954</v>
      </c>
      <c r="F60" s="34">
        <f t="shared" si="3"/>
        <v>-15.068719999999999</v>
      </c>
    </row>
    <row r="61" spans="1:6">
      <c r="A61" s="43" t="s">
        <v>45</v>
      </c>
      <c r="B61" s="44" t="s">
        <v>46</v>
      </c>
      <c r="C61" s="92">
        <v>99.183999999999997</v>
      </c>
      <c r="D61" s="92">
        <v>84.115279999999998</v>
      </c>
      <c r="E61" s="38">
        <f t="shared" si="4"/>
        <v>84.807307630262954</v>
      </c>
      <c r="F61" s="38">
        <f t="shared" si="3"/>
        <v>-15.068719999999999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12.821999999999999</v>
      </c>
      <c r="D62" s="22">
        <f>D65+D66+D67</f>
        <v>6.89025</v>
      </c>
      <c r="E62" s="34">
        <f t="shared" si="4"/>
        <v>53.737716424894714</v>
      </c>
      <c r="F62" s="34">
        <f t="shared" si="3"/>
        <v>-5.9317499999999992</v>
      </c>
    </row>
    <row r="63" spans="1:6" ht="13.5" hidden="1" customHeight="1">
      <c r="A63" s="35" t="s">
        <v>49</v>
      </c>
      <c r="B63" s="39" t="s">
        <v>50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2">
        <v>2.8220000000000001</v>
      </c>
      <c r="D65" s="92">
        <v>2.8219099999999999</v>
      </c>
      <c r="E65" s="34">
        <f t="shared" si="4"/>
        <v>99.99681077250176</v>
      </c>
      <c r="F65" s="34">
        <f t="shared" si="3"/>
        <v>-9.0000000000145519E-5</v>
      </c>
    </row>
    <row r="66" spans="1:7" ht="15.75" customHeight="1">
      <c r="A66" s="46" t="s">
        <v>214</v>
      </c>
      <c r="B66" s="47" t="s">
        <v>215</v>
      </c>
      <c r="C66" s="92">
        <v>8</v>
      </c>
      <c r="D66" s="92">
        <v>4.0683400000000001</v>
      </c>
      <c r="E66" s="38">
        <f t="shared" si="4"/>
        <v>50.85425</v>
      </c>
      <c r="F66" s="38">
        <f t="shared" si="3"/>
        <v>-3.9316599999999999</v>
      </c>
    </row>
    <row r="67" spans="1:7" ht="15.75" customHeight="1">
      <c r="A67" s="46" t="s">
        <v>336</v>
      </c>
      <c r="B67" s="47" t="s">
        <v>390</v>
      </c>
      <c r="C67" s="92">
        <v>2</v>
      </c>
      <c r="D67" s="92">
        <v>0</v>
      </c>
      <c r="E67" s="38"/>
      <c r="F67" s="38"/>
    </row>
    <row r="68" spans="1:7" s="6" customFormat="1">
      <c r="A68" s="30" t="s">
        <v>55</v>
      </c>
      <c r="B68" s="31" t="s">
        <v>56</v>
      </c>
      <c r="C68" s="105">
        <f>C71+C72+C69+C70</f>
        <v>1183.0460400000002</v>
      </c>
      <c r="D68" s="105">
        <f>D71+D72+D69+D70</f>
        <v>172.239</v>
      </c>
      <c r="E68" s="34">
        <f t="shared" si="4"/>
        <v>14.558943116026152</v>
      </c>
      <c r="F68" s="34">
        <f t="shared" si="3"/>
        <v>-1010.8070400000001</v>
      </c>
    </row>
    <row r="69" spans="1:7" ht="16.5" customHeight="1">
      <c r="A69" s="35" t="s">
        <v>57</v>
      </c>
      <c r="B69" s="39" t="s">
        <v>58</v>
      </c>
      <c r="C69" s="106">
        <v>4.1779999999999999</v>
      </c>
      <c r="D69" s="92">
        <v>0</v>
      </c>
      <c r="E69" s="38">
        <f t="shared" si="4"/>
        <v>0</v>
      </c>
      <c r="F69" s="38">
        <f t="shared" si="3"/>
        <v>-4.1779999999999999</v>
      </c>
    </row>
    <row r="70" spans="1:7" s="6" customFormat="1" ht="15.75" customHeight="1">
      <c r="A70" s="35" t="s">
        <v>59</v>
      </c>
      <c r="B70" s="39" t="s">
        <v>60</v>
      </c>
      <c r="C70" s="106">
        <v>32</v>
      </c>
      <c r="D70" s="92">
        <v>19.72</v>
      </c>
      <c r="E70" s="38">
        <f t="shared" si="4"/>
        <v>61.625</v>
      </c>
      <c r="F70" s="38">
        <f t="shared" si="3"/>
        <v>-12.280000000000001</v>
      </c>
      <c r="G70" s="50"/>
    </row>
    <row r="71" spans="1:7" ht="15.75" customHeight="1">
      <c r="A71" s="35" t="s">
        <v>61</v>
      </c>
      <c r="B71" s="39" t="s">
        <v>62</v>
      </c>
      <c r="C71" s="106">
        <v>1146.8680400000001</v>
      </c>
      <c r="D71" s="92">
        <v>152.51900000000001</v>
      </c>
      <c r="E71" s="38">
        <f t="shared" si="4"/>
        <v>13.298740106141594</v>
      </c>
      <c r="F71" s="38">
        <f t="shared" si="3"/>
        <v>-994.34904000000006</v>
      </c>
    </row>
    <row r="72" spans="1:7">
      <c r="A72" s="35" t="s">
        <v>63</v>
      </c>
      <c r="B72" s="39" t="s">
        <v>64</v>
      </c>
      <c r="C72" s="106">
        <v>0</v>
      </c>
      <c r="D72" s="92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1432.2249999999999</v>
      </c>
      <c r="D73" s="22">
        <f>D76</f>
        <v>890.82308999999998</v>
      </c>
      <c r="E73" s="34">
        <f t="shared" si="4"/>
        <v>62.198543524934976</v>
      </c>
      <c r="F73" s="34">
        <f t="shared" si="3"/>
        <v>-541.40190999999993</v>
      </c>
    </row>
    <row r="74" spans="1:7" ht="0.75" hidden="1" customHeight="1">
      <c r="A74" s="35" t="s">
        <v>67</v>
      </c>
      <c r="B74" s="51" t="s">
        <v>68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t="15.75" customHeight="1">
      <c r="A75" s="35" t="s">
        <v>69</v>
      </c>
      <c r="B75" s="51" t="s">
        <v>70</v>
      </c>
      <c r="C75" s="92">
        <v>0</v>
      </c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71</v>
      </c>
      <c r="B76" s="39" t="s">
        <v>72</v>
      </c>
      <c r="C76" s="92">
        <v>1432.2249999999999</v>
      </c>
      <c r="D76" s="92">
        <v>890.82308999999998</v>
      </c>
      <c r="E76" s="38">
        <f t="shared" si="4"/>
        <v>62.198543524934976</v>
      </c>
      <c r="F76" s="38">
        <f t="shared" si="3"/>
        <v>-541.40190999999993</v>
      </c>
    </row>
    <row r="77" spans="1:7" s="6" customFormat="1">
      <c r="A77" s="30" t="s">
        <v>83</v>
      </c>
      <c r="B77" s="31" t="s">
        <v>84</v>
      </c>
      <c r="C77" s="22">
        <f>C78</f>
        <v>283</v>
      </c>
      <c r="D77" s="22">
        <f>D78</f>
        <v>264</v>
      </c>
      <c r="E77" s="34">
        <f t="shared" si="4"/>
        <v>93.28621908127208</v>
      </c>
      <c r="F77" s="34">
        <f t="shared" si="3"/>
        <v>-19</v>
      </c>
    </row>
    <row r="78" spans="1:7" ht="14.25" customHeight="1">
      <c r="A78" s="35" t="s">
        <v>85</v>
      </c>
      <c r="B78" s="39" t="s">
        <v>229</v>
      </c>
      <c r="C78" s="92">
        <v>283</v>
      </c>
      <c r="D78" s="92">
        <v>264</v>
      </c>
      <c r="E78" s="38">
        <f t="shared" si="4"/>
        <v>93.28621908127208</v>
      </c>
      <c r="F78" s="38">
        <f t="shared" si="3"/>
        <v>-19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2"/>
      <c r="D82" s="190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90</v>
      </c>
      <c r="B83" s="39" t="s">
        <v>91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92</v>
      </c>
      <c r="B84" s="31" t="s">
        <v>93</v>
      </c>
      <c r="C84" s="22">
        <f>C85</f>
        <v>2</v>
      </c>
      <c r="D84" s="22">
        <f>D85</f>
        <v>0</v>
      </c>
      <c r="E84" s="38">
        <f t="shared" si="4"/>
        <v>0</v>
      </c>
      <c r="F84" s="22">
        <f>F85+F86+F87+F88+F89</f>
        <v>-2</v>
      </c>
    </row>
    <row r="85" spans="1:7" ht="11.25" customHeight="1">
      <c r="A85" s="35" t="s">
        <v>94</v>
      </c>
      <c r="B85" s="39" t="s">
        <v>95</v>
      </c>
      <c r="C85" s="92">
        <v>2</v>
      </c>
      <c r="D85" s="92">
        <v>0</v>
      </c>
      <c r="E85" s="38">
        <v>0</v>
      </c>
      <c r="F85" s="38">
        <f>SUM(D85-C85)</f>
        <v>-2</v>
      </c>
    </row>
    <row r="86" spans="1:7" ht="14.25" hidden="1" customHeight="1">
      <c r="A86" s="35" t="s">
        <v>96</v>
      </c>
      <c r="B86" s="39" t="s">
        <v>97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5">
        <v>0</v>
      </c>
      <c r="D90" s="105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6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6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6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75">
        <f>C52+C60+C62+C68+C73+C77+C84</f>
        <v>4170.0520400000005</v>
      </c>
      <c r="D94" s="475">
        <f>D52+D60+D62+D68+D73+D77+D79+D84+D90</f>
        <v>2261.2134500000002</v>
      </c>
      <c r="E94" s="128">
        <f t="shared" si="4"/>
        <v>54.225065498223366</v>
      </c>
      <c r="F94" s="34">
        <f t="shared" si="3"/>
        <v>-1908.8385900000003</v>
      </c>
      <c r="G94" s="200"/>
    </row>
    <row r="95" spans="1:7">
      <c r="C95" s="126"/>
      <c r="D95" s="101"/>
    </row>
    <row r="96" spans="1:7" s="65" customFormat="1" ht="16.5" customHeight="1">
      <c r="A96" s="63" t="s">
        <v>117</v>
      </c>
      <c r="B96" s="63"/>
      <c r="C96" s="185"/>
      <c r="D96" s="185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1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2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3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5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6"/>
      <headerFooter alignWithMargins="0"/>
    </customSheetView>
    <customSheetView guid="{B30CE22D-C12F-4E12-8BB9-3AAE0A6991CC}" scale="70" showPageBreaks="1" printArea="1" hiddenRows="1" view="pageBreakPreview" topLeftCell="A16">
      <selection activeCell="C48" sqref="C48:D48"/>
      <pageMargins left="0.74803149606299213" right="0.74803149606299213" top="0.19685039370078741" bottom="0.15748031496062992" header="0.51181102362204722" footer="0.23622047244094491"/>
      <pageSetup paperSize="9" scale="60" orientation="portrait" r:id="rId7"/>
      <headerFooter alignWithMargins="0"/>
    </customSheetView>
    <customSheetView guid="{1718F1EE-9F48-4DBE-9531-3B70F9C4A5DD}" scale="70" showPageBreaks="1" hiddenRows="1" view="pageBreakPreview" topLeftCell="A13">
      <selection activeCell="D76" sqref="D76"/>
      <pageMargins left="0.75" right="0.75" top="0.18" bottom="0.17" header="0.5" footer="0.25"/>
      <pageSetup paperSize="9" scale="49" orientation="portrait" r:id="rId8"/>
      <headerFooter alignWithMargins="0"/>
    </customSheetView>
    <customSheetView guid="{61528DAC-5C4C-48F4-ADE2-8A724B05A086}" scale="70" showPageBreaks="1" printArea="1" hiddenRows="1" view="pageBreakPreview">
      <selection activeCell="D47" sqref="D47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46" zoomScale="70" zoomScaleSheetLayoutView="70" workbookViewId="0">
      <selection activeCell="C83" sqref="C8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6" t="s">
        <v>419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135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3554.16</v>
      </c>
      <c r="D4" s="5">
        <f>D5+D12+D14+D17+D7</f>
        <v>2818.7886499999995</v>
      </c>
      <c r="E4" s="5">
        <f>SUM(D4/C4*100)</f>
        <v>79.309559783465005</v>
      </c>
      <c r="F4" s="5">
        <f>SUM(D4-C4)</f>
        <v>-735.37135000000035</v>
      </c>
    </row>
    <row r="5" spans="1:6" s="6" customFormat="1">
      <c r="A5" s="68">
        <v>1010000000</v>
      </c>
      <c r="B5" s="67" t="s">
        <v>5</v>
      </c>
      <c r="C5" s="5">
        <f>C6</f>
        <v>403.6</v>
      </c>
      <c r="D5" s="5">
        <f>D6</f>
        <v>299.84989999999999</v>
      </c>
      <c r="E5" s="5">
        <f t="shared" ref="E5:E52" si="0">SUM(D5/C5*100)</f>
        <v>74.29383052527254</v>
      </c>
      <c r="F5" s="5">
        <f t="shared" ref="F5:F52" si="1">SUM(D5-C5)</f>
        <v>-103.75010000000003</v>
      </c>
    </row>
    <row r="6" spans="1:6">
      <c r="A6" s="7">
        <v>1010200001</v>
      </c>
      <c r="B6" s="8" t="s">
        <v>224</v>
      </c>
      <c r="C6" s="9">
        <v>403.6</v>
      </c>
      <c r="D6" s="10">
        <v>299.84989999999999</v>
      </c>
      <c r="E6" s="9">
        <f t="shared" ref="E6:E11" si="2">SUM(D6/C6*100)</f>
        <v>74.29383052527254</v>
      </c>
      <c r="F6" s="9">
        <f t="shared" si="1"/>
        <v>-103.75010000000003</v>
      </c>
    </row>
    <row r="7" spans="1:6" ht="31.5">
      <c r="A7" s="3">
        <v>1030000000</v>
      </c>
      <c r="B7" s="13" t="s">
        <v>266</v>
      </c>
      <c r="C7" s="5">
        <f>C8+C10+C9</f>
        <v>739.56000000000006</v>
      </c>
      <c r="D7" s="5">
        <f>D8+D10+D9+D11</f>
        <v>645.01508999999999</v>
      </c>
      <c r="E7" s="5">
        <f t="shared" si="2"/>
        <v>87.216059548920981</v>
      </c>
      <c r="F7" s="5">
        <f t="shared" si="1"/>
        <v>-94.544910000000073</v>
      </c>
    </row>
    <row r="8" spans="1:6">
      <c r="A8" s="7">
        <v>1030223001</v>
      </c>
      <c r="B8" s="8" t="s">
        <v>268</v>
      </c>
      <c r="C8" s="9">
        <v>275.86</v>
      </c>
      <c r="D8" s="10">
        <v>297.14875000000001</v>
      </c>
      <c r="E8" s="9">
        <f t="shared" si="2"/>
        <v>107.71722975422315</v>
      </c>
      <c r="F8" s="9">
        <f t="shared" si="1"/>
        <v>21.288749999999993</v>
      </c>
    </row>
    <row r="9" spans="1:6">
      <c r="A9" s="7">
        <v>1030224001</v>
      </c>
      <c r="B9" s="8" t="s">
        <v>274</v>
      </c>
      <c r="C9" s="9">
        <v>2.95</v>
      </c>
      <c r="D9" s="10">
        <v>2.1318100000000002</v>
      </c>
      <c r="E9" s="9">
        <f t="shared" si="2"/>
        <v>72.264745762711868</v>
      </c>
      <c r="F9" s="9">
        <f t="shared" si="1"/>
        <v>-0.81818999999999997</v>
      </c>
    </row>
    <row r="10" spans="1:6">
      <c r="A10" s="7">
        <v>1030225001</v>
      </c>
      <c r="B10" s="8" t="s">
        <v>267</v>
      </c>
      <c r="C10" s="9">
        <v>460.75</v>
      </c>
      <c r="D10" s="10">
        <v>399.25704000000002</v>
      </c>
      <c r="E10" s="9">
        <f t="shared" si="2"/>
        <v>86.653725447639715</v>
      </c>
      <c r="F10" s="9">
        <f t="shared" si="1"/>
        <v>-61.492959999999982</v>
      </c>
    </row>
    <row r="11" spans="1:6">
      <c r="A11" s="7">
        <v>1030226001</v>
      </c>
      <c r="B11" s="8" t="s">
        <v>276</v>
      </c>
      <c r="C11" s="9">
        <v>0</v>
      </c>
      <c r="D11" s="10">
        <v>-53.522509999999997</v>
      </c>
      <c r="E11" s="9" t="e">
        <f t="shared" si="2"/>
        <v>#DIV/0!</v>
      </c>
      <c r="F11" s="9">
        <f t="shared" si="1"/>
        <v>-53.522509999999997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29.441220000000001</v>
      </c>
      <c r="E12" s="5">
        <f t="shared" si="0"/>
        <v>73.603049999999996</v>
      </c>
      <c r="F12" s="5">
        <f t="shared" si="1"/>
        <v>-10.558779999999999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29.441220000000001</v>
      </c>
      <c r="E13" s="9">
        <f t="shared" si="0"/>
        <v>73.603049999999996</v>
      </c>
      <c r="F13" s="9">
        <f t="shared" si="1"/>
        <v>-10.558779999999999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2361</v>
      </c>
      <c r="D14" s="5">
        <f>D15+D16</f>
        <v>1836.8224399999999</v>
      </c>
      <c r="E14" s="5">
        <f t="shared" si="0"/>
        <v>77.798493858534513</v>
      </c>
      <c r="F14" s="5">
        <f t="shared" si="1"/>
        <v>-524.17756000000008</v>
      </c>
    </row>
    <row r="15" spans="1:6" s="6" customFormat="1" ht="15.75" customHeight="1">
      <c r="A15" s="7">
        <v>1060100000</v>
      </c>
      <c r="B15" s="11" t="s">
        <v>8</v>
      </c>
      <c r="C15" s="9">
        <v>1120</v>
      </c>
      <c r="D15" s="10">
        <v>734.94443000000001</v>
      </c>
      <c r="E15" s="5">
        <f t="shared" si="0"/>
        <v>65.62003839285714</v>
      </c>
      <c r="F15" s="9">
        <f>SUM(D15-C15)</f>
        <v>-385.05556999999999</v>
      </c>
    </row>
    <row r="16" spans="1:6" ht="15" customHeight="1">
      <c r="A16" s="7">
        <v>1060600000</v>
      </c>
      <c r="B16" s="11" t="s">
        <v>7</v>
      </c>
      <c r="C16" s="9">
        <v>1241</v>
      </c>
      <c r="D16" s="10">
        <v>1101.8780099999999</v>
      </c>
      <c r="E16" s="5">
        <f t="shared" si="0"/>
        <v>88.789525382755826</v>
      </c>
      <c r="F16" s="9">
        <f t="shared" si="1"/>
        <v>-139.1219900000001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7.66</v>
      </c>
      <c r="E17" s="5">
        <f t="shared" si="0"/>
        <v>76.599999999999994</v>
      </c>
      <c r="F17" s="5">
        <f t="shared" si="1"/>
        <v>-2.34</v>
      </c>
    </row>
    <row r="18" spans="1:6" ht="18" customHeight="1">
      <c r="A18" s="7">
        <v>1080400001</v>
      </c>
      <c r="B18" s="8" t="s">
        <v>223</v>
      </c>
      <c r="C18" s="9">
        <v>10</v>
      </c>
      <c r="D18" s="10">
        <v>7.66</v>
      </c>
      <c r="E18" s="9">
        <f t="shared" si="0"/>
        <v>76.599999999999994</v>
      </c>
      <c r="F18" s="9">
        <f t="shared" si="1"/>
        <v>-2.34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443.9</v>
      </c>
      <c r="D25" s="5">
        <f>D26+D30+D32+D35+D37</f>
        <v>442.25308999999999</v>
      </c>
      <c r="E25" s="5">
        <f t="shared" si="0"/>
        <v>99.628990763685522</v>
      </c>
      <c r="F25" s="5">
        <f t="shared" si="1"/>
        <v>-1.6469099999999912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243.9</v>
      </c>
      <c r="D26" s="5">
        <f>D28+D29</f>
        <v>85.537000000000006</v>
      </c>
      <c r="E26" s="5">
        <f t="shared" si="0"/>
        <v>35.070520705207052</v>
      </c>
      <c r="F26" s="5">
        <f t="shared" si="1"/>
        <v>-158.363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313</v>
      </c>
      <c r="C28" s="12">
        <v>193.9</v>
      </c>
      <c r="D28" s="10">
        <v>39.700000000000003</v>
      </c>
      <c r="E28" s="9">
        <f t="shared" si="0"/>
        <v>20.474471376998455</v>
      </c>
      <c r="F28" s="9">
        <f t="shared" si="1"/>
        <v>-154.19999999999999</v>
      </c>
    </row>
    <row r="29" spans="1:6">
      <c r="A29" s="7">
        <v>1110503000</v>
      </c>
      <c r="B29" s="11" t="s">
        <v>220</v>
      </c>
      <c r="C29" s="12">
        <v>50</v>
      </c>
      <c r="D29" s="10">
        <v>45.837000000000003</v>
      </c>
      <c r="E29" s="9">
        <f>SUM(D29/C29*100)</f>
        <v>91.674000000000007</v>
      </c>
      <c r="F29" s="9">
        <f t="shared" si="1"/>
        <v>-4.1629999999999967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200</v>
      </c>
      <c r="D30" s="5">
        <f>D31</f>
        <v>62.058779999999999</v>
      </c>
      <c r="E30" s="5">
        <f t="shared" si="0"/>
        <v>31.029389999999999</v>
      </c>
      <c r="F30" s="5">
        <f t="shared" si="1"/>
        <v>-137.94121999999999</v>
      </c>
    </row>
    <row r="31" spans="1:6" ht="18" customHeight="1">
      <c r="A31" s="7">
        <v>1130206005</v>
      </c>
      <c r="B31" s="8" t="s">
        <v>219</v>
      </c>
      <c r="C31" s="9">
        <v>200</v>
      </c>
      <c r="D31" s="10">
        <v>62.058779999999999</v>
      </c>
      <c r="E31" s="9">
        <f>SUM(D31/C31*100)</f>
        <v>31.029389999999999</v>
      </c>
      <c r="F31" s="9">
        <f t="shared" si="1"/>
        <v>-137.94121999999999</v>
      </c>
    </row>
    <row r="32" spans="1:6" ht="18.75" customHeight="1">
      <c r="A32" s="70">
        <v>1140000000</v>
      </c>
      <c r="B32" s="71" t="s">
        <v>129</v>
      </c>
      <c r="C32" s="5">
        <f>C33+C34</f>
        <v>0</v>
      </c>
      <c r="D32" s="5">
        <f>D33+D34</f>
        <v>284.35000000000002</v>
      </c>
      <c r="E32" s="5" t="e">
        <f t="shared" si="0"/>
        <v>#DIV/0!</v>
      </c>
      <c r="F32" s="5">
        <f t="shared" si="1"/>
        <v>284.35000000000002</v>
      </c>
    </row>
    <row r="33" spans="1:7" ht="21.75" customHeight="1">
      <c r="A33" s="16">
        <v>1140200000</v>
      </c>
      <c r="B33" s="18" t="s">
        <v>130</v>
      </c>
      <c r="C33" s="9">
        <v>0</v>
      </c>
      <c r="D33" s="10">
        <v>225.55</v>
      </c>
      <c r="E33" s="9" t="e">
        <f t="shared" si="0"/>
        <v>#DIV/0!</v>
      </c>
      <c r="F33" s="9">
        <f t="shared" si="1"/>
        <v>225.55</v>
      </c>
    </row>
    <row r="34" spans="1:7" ht="24.75" customHeight="1">
      <c r="A34" s="7">
        <v>1140600000</v>
      </c>
      <c r="B34" s="8" t="s">
        <v>218</v>
      </c>
      <c r="C34" s="9">
        <v>0</v>
      </c>
      <c r="D34" s="10">
        <v>58.8</v>
      </c>
      <c r="E34" s="9" t="e">
        <f t="shared" si="0"/>
        <v>#DIV/0!</v>
      </c>
      <c r="F34" s="9">
        <f t="shared" si="1"/>
        <v>58.8</v>
      </c>
    </row>
    <row r="35" spans="1:7" ht="25.5" customHeight="1">
      <c r="A35" s="100">
        <v>1160000000</v>
      </c>
      <c r="B35" s="13" t="s">
        <v>240</v>
      </c>
      <c r="C35" s="5">
        <f>C36</f>
        <v>0</v>
      </c>
      <c r="D35" s="14">
        <f>D36</f>
        <v>12.836869999999999</v>
      </c>
      <c r="E35" s="9" t="e">
        <f t="shared" si="0"/>
        <v>#DIV/0!</v>
      </c>
      <c r="F35" s="9">
        <f t="shared" si="1"/>
        <v>12.836869999999999</v>
      </c>
    </row>
    <row r="36" spans="1:7" ht="26.25" customHeight="1">
      <c r="A36" s="7">
        <v>1160701010</v>
      </c>
      <c r="B36" s="8" t="s">
        <v>399</v>
      </c>
      <c r="C36" s="9">
        <v>0</v>
      </c>
      <c r="D36" s="10">
        <v>12.836869999999999</v>
      </c>
      <c r="E36" s="9" t="e">
        <f t="shared" si="0"/>
        <v>#DIV/0!</v>
      </c>
      <c r="F36" s="9">
        <f t="shared" si="1"/>
        <v>12.836869999999999</v>
      </c>
    </row>
    <row r="37" spans="1:7" ht="22.5" customHeight="1">
      <c r="A37" s="3">
        <v>1170000000</v>
      </c>
      <c r="B37" s="13" t="s">
        <v>132</v>
      </c>
      <c r="C37" s="5">
        <f>C38+C39</f>
        <v>0</v>
      </c>
      <c r="D37" s="5">
        <f>D38+D39</f>
        <v>-2.52956</v>
      </c>
      <c r="E37" s="5" t="e">
        <f t="shared" si="0"/>
        <v>#DIV/0!</v>
      </c>
      <c r="F37" s="5">
        <f t="shared" si="1"/>
        <v>-2.52956</v>
      </c>
    </row>
    <row r="38" spans="1:7" ht="25.5" customHeight="1">
      <c r="A38" s="7">
        <v>1170105005</v>
      </c>
      <c r="B38" s="8" t="s">
        <v>15</v>
      </c>
      <c r="C38" s="9">
        <v>0</v>
      </c>
      <c r="D38" s="9">
        <v>-2.52956</v>
      </c>
      <c r="E38" s="9" t="e">
        <f t="shared" si="0"/>
        <v>#DIV/0!</v>
      </c>
      <c r="F38" s="9">
        <f t="shared" si="1"/>
        <v>-2.52956</v>
      </c>
    </row>
    <row r="39" spans="1:7" ht="29.25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28.5" customHeight="1">
      <c r="A40" s="3">
        <v>1000000000</v>
      </c>
      <c r="B40" s="4" t="s">
        <v>16</v>
      </c>
      <c r="C40" s="127">
        <f>SUM(C4,C25)</f>
        <v>3998.06</v>
      </c>
      <c r="D40" s="127">
        <f>D4+D25</f>
        <v>3261.0417399999997</v>
      </c>
      <c r="E40" s="5">
        <f t="shared" si="0"/>
        <v>81.565602817366411</v>
      </c>
      <c r="F40" s="5">
        <f t="shared" si="1"/>
        <v>-737.01826000000028</v>
      </c>
    </row>
    <row r="41" spans="1:7" s="6" customFormat="1" ht="20.25" customHeight="1">
      <c r="A41" s="3">
        <v>2000000000</v>
      </c>
      <c r="B41" s="4" t="s">
        <v>17</v>
      </c>
      <c r="C41" s="436">
        <f>C42+C43+C44+C46+C47+C45+C48</f>
        <v>11505.383640000002</v>
      </c>
      <c r="D41" s="497">
        <f>D42+D43+D44+D46+D47+D45+D48</f>
        <v>10501.981810000001</v>
      </c>
      <c r="E41" s="5">
        <f t="shared" si="0"/>
        <v>91.278849437827176</v>
      </c>
      <c r="F41" s="5">
        <f t="shared" si="1"/>
        <v>-1003.4018300000007</v>
      </c>
      <c r="G41" s="19"/>
    </row>
    <row r="42" spans="1:7" ht="19.5" customHeight="1">
      <c r="A42" s="16">
        <v>2021000000</v>
      </c>
      <c r="B42" s="17" t="s">
        <v>18</v>
      </c>
      <c r="C42" s="437">
        <v>3283.9</v>
      </c>
      <c r="D42" s="438">
        <v>3010.194</v>
      </c>
      <c r="E42" s="9">
        <f t="shared" si="0"/>
        <v>91.665215140534116</v>
      </c>
      <c r="F42" s="9">
        <f t="shared" si="1"/>
        <v>-273.70600000000013</v>
      </c>
    </row>
    <row r="43" spans="1:7" ht="21.75" customHeight="1">
      <c r="A43" s="16">
        <v>2021500200</v>
      </c>
      <c r="B43" s="17" t="s">
        <v>227</v>
      </c>
      <c r="C43" s="12">
        <v>572</v>
      </c>
      <c r="D43" s="20">
        <v>500</v>
      </c>
      <c r="E43" s="9">
        <f t="shared" si="0"/>
        <v>87.412587412587413</v>
      </c>
      <c r="F43" s="9">
        <f t="shared" si="1"/>
        <v>-72</v>
      </c>
    </row>
    <row r="44" spans="1:7" ht="21" customHeight="1">
      <c r="A44" s="16">
        <v>2022000000</v>
      </c>
      <c r="B44" s="17" t="s">
        <v>19</v>
      </c>
      <c r="C44" s="12">
        <v>3786.41896</v>
      </c>
      <c r="D44" s="10">
        <v>3578.47919</v>
      </c>
      <c r="E44" s="9">
        <f t="shared" si="0"/>
        <v>94.508273590516779</v>
      </c>
      <c r="F44" s="9">
        <f t="shared" si="1"/>
        <v>-207.93976999999995</v>
      </c>
    </row>
    <row r="45" spans="1:7" ht="23.25" hidden="1" customHeight="1">
      <c r="A45" s="16">
        <v>2022999910</v>
      </c>
      <c r="B45" s="18" t="s">
        <v>328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20</v>
      </c>
      <c r="C46" s="12">
        <v>198.36600000000001</v>
      </c>
      <c r="D46" s="187">
        <v>180.68299999999999</v>
      </c>
      <c r="E46" s="9">
        <f t="shared" si="0"/>
        <v>91.08566992327313</v>
      </c>
      <c r="F46" s="9">
        <f t="shared" si="1"/>
        <v>-17.683000000000021</v>
      </c>
    </row>
    <row r="47" spans="1:7" ht="17.25" customHeight="1">
      <c r="A47" s="16">
        <v>2020400000</v>
      </c>
      <c r="B47" s="17" t="s">
        <v>21</v>
      </c>
      <c r="C47" s="12">
        <v>3603.6020800000001</v>
      </c>
      <c r="D47" s="188">
        <v>3221.5290199999999</v>
      </c>
      <c r="E47" s="9">
        <f t="shared" si="0"/>
        <v>89.397468102249505</v>
      </c>
      <c r="F47" s="9">
        <f t="shared" si="1"/>
        <v>-382.07306000000017</v>
      </c>
    </row>
    <row r="48" spans="1:7" ht="16.5" customHeight="1">
      <c r="A48" s="7">
        <v>2070500010</v>
      </c>
      <c r="B48" s="17" t="s">
        <v>329</v>
      </c>
      <c r="C48" s="12">
        <v>61.096600000000002</v>
      </c>
      <c r="D48" s="188">
        <v>11.0966</v>
      </c>
      <c r="E48" s="9">
        <f t="shared" si="0"/>
        <v>18.162385468258464</v>
      </c>
      <c r="F48" s="9">
        <f t="shared" si="1"/>
        <v>-50</v>
      </c>
    </row>
    <row r="49" spans="1:8" ht="47.25" hidden="1">
      <c r="A49" s="16">
        <v>2020900000</v>
      </c>
      <c r="B49" s="18" t="s">
        <v>22</v>
      </c>
      <c r="C49" s="263"/>
      <c r="D49" s="262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261">
        <v>0</v>
      </c>
      <c r="D50" s="261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264">
        <v>0</v>
      </c>
      <c r="D51" s="261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33">
        <f>SUM(C40,C41,C51)</f>
        <v>15503.443640000001</v>
      </c>
      <c r="D52" s="479">
        <f>D40+D41</f>
        <v>13763.023550000002</v>
      </c>
      <c r="E52" s="5">
        <f t="shared" si="0"/>
        <v>88.773977379389507</v>
      </c>
      <c r="F52" s="5">
        <f t="shared" si="1"/>
        <v>-1740.4200899999996</v>
      </c>
      <c r="G52" s="94"/>
      <c r="H52" s="94"/>
    </row>
    <row r="53" spans="1:8" s="6" customFormat="1">
      <c r="A53" s="3"/>
      <c r="B53" s="21" t="s">
        <v>306</v>
      </c>
      <c r="C53" s="5">
        <f>C52-C101</f>
        <v>-349.99105999999847</v>
      </c>
      <c r="D53" s="5">
        <f>D52-D101</f>
        <v>1594.6812400000035</v>
      </c>
      <c r="E53" s="22"/>
      <c r="F53" s="22"/>
    </row>
    <row r="54" spans="1:8" ht="15.75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26</v>
      </c>
      <c r="C55" s="146" t="s">
        <v>398</v>
      </c>
      <c r="D55" s="147" t="s">
        <v>420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27</v>
      </c>
      <c r="B57" s="31" t="s">
        <v>28</v>
      </c>
      <c r="C57" s="102">
        <f>C58+C59+C60+C61+C62+C64+C63</f>
        <v>1818.443</v>
      </c>
      <c r="D57" s="102">
        <f>D58+D59+D60+D61+D62+D64+D63</f>
        <v>1566.58286</v>
      </c>
      <c r="E57" s="34">
        <f>SUM(D57/C57*100)</f>
        <v>86.149681898195325</v>
      </c>
      <c r="F57" s="34">
        <f>SUM(D57-C57)</f>
        <v>-251.86014</v>
      </c>
    </row>
    <row r="58" spans="1:8" s="6" customFormat="1" ht="0.75" hidden="1" customHeight="1">
      <c r="A58" s="35" t="s">
        <v>29</v>
      </c>
      <c r="B58" s="36" t="s">
        <v>30</v>
      </c>
      <c r="C58" s="92"/>
      <c r="D58" s="92"/>
      <c r="E58" s="38"/>
      <c r="F58" s="38"/>
    </row>
    <row r="59" spans="1:8" ht="16.5" customHeight="1">
      <c r="A59" s="35" t="s">
        <v>31</v>
      </c>
      <c r="B59" s="39" t="s">
        <v>32</v>
      </c>
      <c r="C59" s="148">
        <v>1754.6</v>
      </c>
      <c r="D59" s="92">
        <v>1512.58286</v>
      </c>
      <c r="E59" s="38">
        <f t="shared" ref="E59:E101" si="3">SUM(D59/C59*100)</f>
        <v>86.20670580189217</v>
      </c>
      <c r="F59" s="38">
        <f t="shared" ref="F59:F101" si="4">SUM(D59-C59)</f>
        <v>-242.01713999999993</v>
      </c>
    </row>
    <row r="60" spans="1:8" ht="12.75" hidden="1" customHeight="1">
      <c r="A60" s="35" t="s">
        <v>33</v>
      </c>
      <c r="B60" s="39" t="s">
        <v>34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35</v>
      </c>
      <c r="B61" s="39" t="s">
        <v>36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9.5" customHeight="1">
      <c r="A62" s="35" t="s">
        <v>37</v>
      </c>
      <c r="B62" s="39" t="s">
        <v>38</v>
      </c>
      <c r="C62" s="92">
        <v>53</v>
      </c>
      <c r="D62" s="92">
        <v>53</v>
      </c>
      <c r="E62" s="38">
        <f t="shared" si="3"/>
        <v>100</v>
      </c>
      <c r="F62" s="38">
        <f t="shared" si="4"/>
        <v>0</v>
      </c>
    </row>
    <row r="63" spans="1:8" ht="18" customHeight="1">
      <c r="A63" s="35" t="s">
        <v>39</v>
      </c>
      <c r="B63" s="39" t="s">
        <v>40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41</v>
      </c>
      <c r="B64" s="39" t="s">
        <v>42</v>
      </c>
      <c r="C64" s="92">
        <v>5.843</v>
      </c>
      <c r="D64" s="92">
        <v>1</v>
      </c>
      <c r="E64" s="38">
        <f t="shared" si="3"/>
        <v>17.114495978093444</v>
      </c>
      <c r="F64" s="38">
        <f t="shared" si="4"/>
        <v>-4.843</v>
      </c>
    </row>
    <row r="65" spans="1:7" s="6" customFormat="1" ht="15.75" customHeight="1">
      <c r="A65" s="41" t="s">
        <v>43</v>
      </c>
      <c r="B65" s="42" t="s">
        <v>44</v>
      </c>
      <c r="C65" s="22">
        <f>C66</f>
        <v>198.36600000000001</v>
      </c>
      <c r="D65" s="22">
        <f>D66</f>
        <v>159.30777</v>
      </c>
      <c r="E65" s="34">
        <f t="shared" si="3"/>
        <v>80.310017845800189</v>
      </c>
      <c r="F65" s="34">
        <f t="shared" si="4"/>
        <v>-39.058230000000009</v>
      </c>
    </row>
    <row r="66" spans="1:7">
      <c r="A66" s="43" t="s">
        <v>45</v>
      </c>
      <c r="B66" s="44" t="s">
        <v>46</v>
      </c>
      <c r="C66" s="92">
        <v>198.36600000000001</v>
      </c>
      <c r="D66" s="92">
        <v>159.30777</v>
      </c>
      <c r="E66" s="38">
        <f t="shared" si="3"/>
        <v>80.310017845800189</v>
      </c>
      <c r="F66" s="38">
        <f t="shared" si="4"/>
        <v>-39.058230000000009</v>
      </c>
    </row>
    <row r="67" spans="1:7" s="6" customFormat="1" ht="20.25" customHeight="1">
      <c r="A67" s="30" t="s">
        <v>47</v>
      </c>
      <c r="B67" s="31" t="s">
        <v>48</v>
      </c>
      <c r="C67" s="22">
        <f>C70+C72+C71</f>
        <v>11.3</v>
      </c>
      <c r="D67" s="22">
        <f>D70+D72+D71</f>
        <v>4.9219100000000005</v>
      </c>
      <c r="E67" s="34">
        <f t="shared" si="3"/>
        <v>43.556725663716819</v>
      </c>
      <c r="F67" s="34">
        <f t="shared" si="4"/>
        <v>-6.3780900000000003</v>
      </c>
    </row>
    <row r="68" spans="1:7" ht="0.75" hidden="1" customHeight="1">
      <c r="A68" s="35" t="s">
        <v>49</v>
      </c>
      <c r="B68" s="39" t="s">
        <v>50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51</v>
      </c>
      <c r="B69" s="39" t="s">
        <v>52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2">
        <v>3</v>
      </c>
      <c r="D70" s="92">
        <v>2.8219099999999999</v>
      </c>
      <c r="E70" s="34">
        <f t="shared" si="3"/>
        <v>94.063666666666663</v>
      </c>
      <c r="F70" s="34">
        <f t="shared" si="4"/>
        <v>-0.17809000000000008</v>
      </c>
    </row>
    <row r="71" spans="1:7" ht="15.75" customHeight="1">
      <c r="A71" s="46" t="s">
        <v>336</v>
      </c>
      <c r="B71" s="47" t="s">
        <v>337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214</v>
      </c>
      <c r="B72" s="47" t="s">
        <v>215</v>
      </c>
      <c r="C72" s="92">
        <v>6.3</v>
      </c>
      <c r="D72" s="92">
        <v>2.1</v>
      </c>
      <c r="E72" s="38">
        <f t="shared" si="3"/>
        <v>33.333333333333336</v>
      </c>
      <c r="F72" s="38">
        <f t="shared" si="4"/>
        <v>-4.1999999999999993</v>
      </c>
    </row>
    <row r="73" spans="1:7" s="6" customFormat="1" ht="17.25" customHeight="1">
      <c r="A73" s="433" t="s">
        <v>55</v>
      </c>
      <c r="B73" s="31" t="s">
        <v>56</v>
      </c>
      <c r="C73" s="105">
        <f>C75+C76+C77+C74</f>
        <v>4280.6790199999996</v>
      </c>
      <c r="D73" s="105">
        <f>SUM(D74:D77)</f>
        <v>3738.00423</v>
      </c>
      <c r="E73" s="34">
        <f t="shared" si="3"/>
        <v>87.322693725352025</v>
      </c>
      <c r="F73" s="34">
        <f t="shared" si="4"/>
        <v>-542.67478999999958</v>
      </c>
    </row>
    <row r="74" spans="1:7" ht="30" customHeight="1">
      <c r="A74" s="35" t="s">
        <v>57</v>
      </c>
      <c r="B74" s="39" t="s">
        <v>58</v>
      </c>
      <c r="C74" s="106">
        <v>5.3460000000000001</v>
      </c>
      <c r="D74" s="92">
        <v>0</v>
      </c>
      <c r="E74" s="38">
        <f t="shared" si="3"/>
        <v>0</v>
      </c>
      <c r="F74" s="38">
        <f t="shared" si="4"/>
        <v>-5.3460000000000001</v>
      </c>
    </row>
    <row r="75" spans="1:7" s="6" customFormat="1" ht="13.5" customHeight="1">
      <c r="A75" s="35" t="s">
        <v>59</v>
      </c>
      <c r="B75" s="39" t="s">
        <v>60</v>
      </c>
      <c r="C75" s="106">
        <v>52.69</v>
      </c>
      <c r="D75" s="92">
        <v>0</v>
      </c>
      <c r="E75" s="38">
        <f t="shared" si="3"/>
        <v>0</v>
      </c>
      <c r="F75" s="38">
        <f t="shared" si="4"/>
        <v>-52.69</v>
      </c>
      <c r="G75" s="50"/>
    </row>
    <row r="76" spans="1:7">
      <c r="A76" s="35" t="s">
        <v>61</v>
      </c>
      <c r="B76" s="39" t="s">
        <v>62</v>
      </c>
      <c r="C76" s="106">
        <v>4004.6800199999998</v>
      </c>
      <c r="D76" s="92">
        <v>3627.9042300000001</v>
      </c>
      <c r="E76" s="38">
        <f t="shared" si="3"/>
        <v>90.591613109703587</v>
      </c>
      <c r="F76" s="38">
        <f t="shared" si="4"/>
        <v>-376.77578999999969</v>
      </c>
    </row>
    <row r="77" spans="1:7">
      <c r="A77" s="35" t="s">
        <v>63</v>
      </c>
      <c r="B77" s="39" t="s">
        <v>64</v>
      </c>
      <c r="C77" s="106">
        <v>217.96299999999999</v>
      </c>
      <c r="D77" s="92">
        <v>110.1</v>
      </c>
      <c r="E77" s="38">
        <f t="shared" si="3"/>
        <v>50.513160490541978</v>
      </c>
      <c r="F77" s="38">
        <f t="shared" si="4"/>
        <v>-107.863</v>
      </c>
    </row>
    <row r="78" spans="1:7" s="6" customFormat="1" ht="24" customHeight="1">
      <c r="A78" s="30" t="s">
        <v>65</v>
      </c>
      <c r="B78" s="31" t="s">
        <v>66</v>
      </c>
      <c r="C78" s="22">
        <f>SUM(C79:C82)</f>
        <v>6081.7256799999996</v>
      </c>
      <c r="D78" s="22">
        <f>SUM(D79:D82)</f>
        <v>5133.7254599999997</v>
      </c>
      <c r="E78" s="34">
        <f t="shared" si="3"/>
        <v>84.412315354545882</v>
      </c>
      <c r="F78" s="34">
        <f t="shared" si="4"/>
        <v>-948.0002199999999</v>
      </c>
    </row>
    <row r="79" spans="1:7" ht="2.25" hidden="1" customHeight="1">
      <c r="A79" s="35" t="s">
        <v>67</v>
      </c>
      <c r="B79" s="51" t="s">
        <v>68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92">
        <v>1567.348</v>
      </c>
      <c r="D80" s="92">
        <v>1211.2031500000001</v>
      </c>
      <c r="E80" s="38">
        <f t="shared" si="3"/>
        <v>77.277231986770005</v>
      </c>
      <c r="F80" s="38">
        <f t="shared" si="4"/>
        <v>-356.14484999999991</v>
      </c>
    </row>
    <row r="81" spans="1:6" ht="15" customHeight="1">
      <c r="A81" s="35" t="s">
        <v>71</v>
      </c>
      <c r="B81" s="39" t="s">
        <v>72</v>
      </c>
      <c r="C81" s="92">
        <v>4514.3776799999996</v>
      </c>
      <c r="D81" s="92">
        <v>3922.5223099999998</v>
      </c>
      <c r="E81" s="38">
        <f t="shared" si="3"/>
        <v>86.889546866623718</v>
      </c>
      <c r="F81" s="38">
        <f t="shared" si="4"/>
        <v>-591.85536999999977</v>
      </c>
    </row>
    <row r="82" spans="1:6" ht="17.25" hidden="1" customHeight="1">
      <c r="A82" s="35" t="s">
        <v>251</v>
      </c>
      <c r="B82" s="39" t="s">
        <v>252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83</v>
      </c>
      <c r="B83" s="31" t="s">
        <v>84</v>
      </c>
      <c r="C83" s="22">
        <f>C84+C85</f>
        <v>3443.51</v>
      </c>
      <c r="D83" s="22">
        <f>D84+D85</f>
        <v>1550.86508</v>
      </c>
      <c r="E83" s="34">
        <f t="shared" si="3"/>
        <v>45.037333418517733</v>
      </c>
      <c r="F83" s="34">
        <f t="shared" si="4"/>
        <v>-1892.6449200000002</v>
      </c>
    </row>
    <row r="84" spans="1:6" ht="19.5" customHeight="1">
      <c r="A84" s="35" t="s">
        <v>85</v>
      </c>
      <c r="B84" s="39" t="s">
        <v>229</v>
      </c>
      <c r="C84" s="92">
        <v>3443.51</v>
      </c>
      <c r="D84" s="92">
        <v>1550.86508</v>
      </c>
      <c r="E84" s="38">
        <f t="shared" si="3"/>
        <v>45.037333418517733</v>
      </c>
      <c r="F84" s="38">
        <f t="shared" si="4"/>
        <v>-1892.6449200000002</v>
      </c>
    </row>
    <row r="85" spans="1:6" ht="0.75" customHeight="1">
      <c r="A85" s="35" t="s">
        <v>258</v>
      </c>
      <c r="B85" s="39" t="s">
        <v>259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21.75" customHeight="1">
      <c r="A86" s="52">
        <v>1000</v>
      </c>
      <c r="B86" s="31" t="s">
        <v>86</v>
      </c>
      <c r="C86" s="22">
        <f>SUM(C87:C90)</f>
        <v>2</v>
      </c>
      <c r="D86" s="22">
        <f>SUM(D87:D90)</f>
        <v>2</v>
      </c>
      <c r="E86" s="34">
        <f t="shared" si="3"/>
        <v>100</v>
      </c>
      <c r="F86" s="34">
        <f t="shared" si="4"/>
        <v>0</v>
      </c>
    </row>
    <row r="87" spans="1:6" ht="20.25" hidden="1" customHeight="1">
      <c r="A87" s="53">
        <v>1001</v>
      </c>
      <c r="B87" s="54" t="s">
        <v>87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t="21.75" customHeight="1">
      <c r="A88" s="53">
        <v>1003</v>
      </c>
      <c r="B88" s="54" t="s">
        <v>88</v>
      </c>
      <c r="C88" s="92">
        <v>2</v>
      </c>
      <c r="D88" s="92">
        <v>2</v>
      </c>
      <c r="E88" s="34">
        <f t="shared" si="3"/>
        <v>100</v>
      </c>
      <c r="F88" s="38">
        <f t="shared" si="4"/>
        <v>0</v>
      </c>
    </row>
    <row r="89" spans="1:6" ht="21.75" customHeight="1">
      <c r="A89" s="53">
        <v>1004</v>
      </c>
      <c r="B89" s="54" t="s">
        <v>89</v>
      </c>
      <c r="C89" s="92"/>
      <c r="D89" s="190"/>
      <c r="E89" s="34" t="e">
        <f t="shared" si="3"/>
        <v>#DIV/0!</v>
      </c>
      <c r="F89" s="38">
        <f t="shared" si="4"/>
        <v>0</v>
      </c>
    </row>
    <row r="90" spans="1:6" ht="19.5" customHeight="1">
      <c r="A90" s="35" t="s">
        <v>90</v>
      </c>
      <c r="B90" s="39" t="s">
        <v>91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17.411000000000001</v>
      </c>
      <c r="D91" s="22">
        <f>D92+D93+D94+D95+D96</f>
        <v>12.935</v>
      </c>
      <c r="E91" s="34">
        <f t="shared" si="3"/>
        <v>74.292114180690362</v>
      </c>
      <c r="F91" s="22">
        <f>F92+F93+F94+F95+F96</f>
        <v>-4.4760000000000009</v>
      </c>
    </row>
    <row r="92" spans="1:6" ht="15.75" customHeight="1">
      <c r="A92" s="35" t="s">
        <v>94</v>
      </c>
      <c r="B92" s="39" t="s">
        <v>95</v>
      </c>
      <c r="C92" s="92">
        <v>17.411000000000001</v>
      </c>
      <c r="D92" s="92">
        <v>12.935</v>
      </c>
      <c r="E92" s="38">
        <f t="shared" si="3"/>
        <v>74.292114180690362</v>
      </c>
      <c r="F92" s="38">
        <f>SUM(D92-C92)</f>
        <v>-4.4760000000000009</v>
      </c>
    </row>
    <row r="93" spans="1:6" ht="15" hidden="1" customHeight="1">
      <c r="A93" s="35" t="s">
        <v>96</v>
      </c>
      <c r="B93" s="39" t="s">
        <v>97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176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112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113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114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20.25" customHeight="1">
      <c r="A100" s="53">
        <v>1403</v>
      </c>
      <c r="B100" s="54" t="s">
        <v>115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116</v>
      </c>
      <c r="C101" s="475">
        <f>C57+C65+C67+C73+C78+C83+C91+C86+C97</f>
        <v>15853.4347</v>
      </c>
      <c r="D101" s="475">
        <f>D57+D65+D67+D73+D78+D83+D91+D86+D97</f>
        <v>12168.342309999998</v>
      </c>
      <c r="E101" s="34">
        <f t="shared" si="3"/>
        <v>76.755242887523906</v>
      </c>
      <c r="F101" s="34">
        <f t="shared" si="4"/>
        <v>-3685.0923900000016</v>
      </c>
      <c r="G101" s="94"/>
    </row>
    <row r="102" spans="1:7" ht="5.25" customHeight="1">
      <c r="D102" s="61"/>
    </row>
    <row r="103" spans="1:7" s="65" customFormat="1" ht="12.75">
      <c r="A103" s="63" t="s">
        <v>117</v>
      </c>
      <c r="B103" s="63"/>
      <c r="C103" s="133"/>
      <c r="D103" s="64"/>
    </row>
    <row r="104" spans="1:7" s="65" customFormat="1" ht="12.75">
      <c r="A104" s="66" t="s">
        <v>118</v>
      </c>
      <c r="B104" s="66"/>
      <c r="C104" s="133" t="s">
        <v>119</v>
      </c>
    </row>
    <row r="142" hidden="1"/>
  </sheetData>
  <customSheetViews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1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2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3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4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5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6"/>
      <headerFooter alignWithMargins="0"/>
    </customSheetView>
    <customSheetView guid="{B30CE22D-C12F-4E12-8BB9-3AAE0A6991CC}" scale="70" showPageBreaks="1" fitToPage="1" printArea="1" hiddenRows="1" view="pageBreakPreview" topLeftCell="A52">
      <selection activeCell="D52" activeCellId="2" sqref="C53:D53 C101:D101 C52:D52"/>
      <pageMargins left="0.74803149606299213" right="0.74803149606299213" top="0.98425196850393704" bottom="0.98425196850393704" header="0.51181102362204722" footer="0.51181102362204722"/>
      <pageSetup paperSize="9" scale="51" orientation="portrait" r:id="rId7"/>
      <headerFooter alignWithMargins="0"/>
    </customSheetView>
    <customSheetView guid="{1718F1EE-9F48-4DBE-9531-3B70F9C4A5DD}" scale="70" showPageBreaks="1" hiddenRows="1" view="pageBreakPreview" topLeftCell="A43">
      <selection activeCell="D92" sqref="D92"/>
      <pageMargins left="0.75" right="0.75" top="1" bottom="1" header="0.5" footer="0.5"/>
      <pageSetup paperSize="9" scale="36" orientation="portrait" r:id="rId8"/>
      <headerFooter alignWithMargins="0"/>
    </customSheetView>
    <customSheetView guid="{61528DAC-5C4C-48F4-ADE2-8A724B05A086}" scale="70" showPageBreaks="1" printArea="1" hiddenRows="1" view="pageBreakPreview">
      <selection activeCell="A2" sqref="A2:F2"/>
      <pageMargins left="0.74803149606299213" right="0.74803149606299213" top="0.98425196850393704" bottom="0.98425196850393704" header="0.51181102362204722" footer="0.51181102362204722"/>
      <pageSetup paperSize="9" scale="5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6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3"/>
  <sheetViews>
    <sheetView view="pageBreakPreview" topLeftCell="A39" zoomScale="70" zoomScaleSheetLayoutView="70" workbookViewId="0">
      <selection activeCell="B26" sqref="B26"/>
    </sheetView>
  </sheetViews>
  <sheetFormatPr defaultRowHeight="15.75"/>
  <cols>
    <col min="1" max="1" width="21.7109375" style="58" customWidth="1"/>
    <col min="2" max="2" width="61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6" t="s">
        <v>421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31.5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1844.5900000000001</v>
      </c>
      <c r="D4" s="5">
        <f>D5+D12+D14+D17+D7</f>
        <v>1461.54123</v>
      </c>
      <c r="E4" s="5">
        <f>SUM(D4/C4*100)</f>
        <v>79.233934370239453</v>
      </c>
      <c r="F4" s="5">
        <f>SUM(D4-C4)</f>
        <v>-383.0487700000001</v>
      </c>
    </row>
    <row r="5" spans="1:6" s="6" customFormat="1">
      <c r="A5" s="68">
        <v>1010000000</v>
      </c>
      <c r="B5" s="67" t="s">
        <v>5</v>
      </c>
      <c r="C5" s="5">
        <f>C6</f>
        <v>71.7</v>
      </c>
      <c r="D5" s="5">
        <f>D6</f>
        <v>59.695590000000003</v>
      </c>
      <c r="E5" s="5">
        <f t="shared" ref="E5:E52" si="0">SUM(D5/C5*100)</f>
        <v>83.25744769874477</v>
      </c>
      <c r="F5" s="5">
        <f t="shared" ref="F5:F52" si="1">SUM(D5-C5)</f>
        <v>-12.00441</v>
      </c>
    </row>
    <row r="6" spans="1:6">
      <c r="A6" s="7">
        <v>1010200001</v>
      </c>
      <c r="B6" s="8" t="s">
        <v>224</v>
      </c>
      <c r="C6" s="9">
        <v>71.7</v>
      </c>
      <c r="D6" s="10">
        <v>59.695590000000003</v>
      </c>
      <c r="E6" s="9">
        <f t="shared" ref="E6:E11" si="2">SUM(D6/C6*100)</f>
        <v>83.25744769874477</v>
      </c>
      <c r="F6" s="9">
        <f t="shared" si="1"/>
        <v>-12.00441</v>
      </c>
    </row>
    <row r="7" spans="1:6" ht="31.5">
      <c r="A7" s="3">
        <v>1030000000</v>
      </c>
      <c r="B7" s="13" t="s">
        <v>266</v>
      </c>
      <c r="C7" s="5">
        <f>C8+C10+C9</f>
        <v>698.89</v>
      </c>
      <c r="D7" s="5">
        <f>D8+D10+D9+D11</f>
        <v>609.55038999999999</v>
      </c>
      <c r="E7" s="9">
        <f t="shared" si="2"/>
        <v>87.216928271974126</v>
      </c>
      <c r="F7" s="9">
        <f t="shared" si="1"/>
        <v>-89.339609999999993</v>
      </c>
    </row>
    <row r="8" spans="1:6">
      <c r="A8" s="7">
        <v>1030223001</v>
      </c>
      <c r="B8" s="8" t="s">
        <v>268</v>
      </c>
      <c r="C8" s="9">
        <v>260.69</v>
      </c>
      <c r="D8" s="10">
        <v>280.81067000000002</v>
      </c>
      <c r="E8" s="9">
        <f t="shared" si="2"/>
        <v>107.71823621926427</v>
      </c>
      <c r="F8" s="9">
        <f t="shared" si="1"/>
        <v>20.120670000000018</v>
      </c>
    </row>
    <row r="9" spans="1:6">
      <c r="A9" s="7">
        <v>1030224001</v>
      </c>
      <c r="B9" s="8" t="s">
        <v>274</v>
      </c>
      <c r="C9" s="9">
        <v>2.79</v>
      </c>
      <c r="D9" s="10">
        <v>2.0146299999999999</v>
      </c>
      <c r="E9" s="9">
        <f t="shared" si="2"/>
        <v>72.208960573476702</v>
      </c>
      <c r="F9" s="9">
        <f t="shared" si="1"/>
        <v>-0.77537000000000011</v>
      </c>
    </row>
    <row r="10" spans="1:6">
      <c r="A10" s="7">
        <v>1030225001</v>
      </c>
      <c r="B10" s="8" t="s">
        <v>267</v>
      </c>
      <c r="C10" s="9">
        <v>435.41</v>
      </c>
      <c r="D10" s="10">
        <v>377.30479000000003</v>
      </c>
      <c r="E10" s="9">
        <f t="shared" si="2"/>
        <v>86.655058450655702</v>
      </c>
      <c r="F10" s="9">
        <f t="shared" si="1"/>
        <v>-58.10521</v>
      </c>
    </row>
    <row r="11" spans="1:6">
      <c r="A11" s="7">
        <v>1030226001</v>
      </c>
      <c r="B11" s="8" t="s">
        <v>276</v>
      </c>
      <c r="C11" s="9">
        <v>0</v>
      </c>
      <c r="D11" s="10">
        <v>-50.579700000000003</v>
      </c>
      <c r="E11" s="9" t="e">
        <f t="shared" si="2"/>
        <v>#DIV/0!</v>
      </c>
      <c r="F11" s="9">
        <f t="shared" si="1"/>
        <v>-50.579700000000003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7.3388999999999998</v>
      </c>
      <c r="E12" s="5">
        <f t="shared" si="0"/>
        <v>73.388999999999996</v>
      </c>
      <c r="F12" s="5">
        <f t="shared" si="1"/>
        <v>-2.6611000000000002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7.3388999999999998</v>
      </c>
      <c r="E13" s="9">
        <f t="shared" si="0"/>
        <v>73.388999999999996</v>
      </c>
      <c r="F13" s="9">
        <f t="shared" si="1"/>
        <v>-2.6611000000000002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1060</v>
      </c>
      <c r="D14" s="233">
        <f>D15+D16</f>
        <v>782.95635000000004</v>
      </c>
      <c r="E14" s="5">
        <f t="shared" si="0"/>
        <v>73.863806603773583</v>
      </c>
      <c r="F14" s="5">
        <f t="shared" si="1"/>
        <v>-277.04364999999996</v>
      </c>
    </row>
    <row r="15" spans="1:6" s="6" customFormat="1" ht="15.75" customHeight="1">
      <c r="A15" s="7">
        <v>1060100000</v>
      </c>
      <c r="B15" s="11" t="s">
        <v>8</v>
      </c>
      <c r="C15" s="9">
        <v>310</v>
      </c>
      <c r="D15" s="10">
        <v>142.32015000000001</v>
      </c>
      <c r="E15" s="9">
        <f t="shared" si="0"/>
        <v>45.909725806451618</v>
      </c>
      <c r="F15" s="9">
        <f>SUM(D15-C15)</f>
        <v>-167.67984999999999</v>
      </c>
    </row>
    <row r="16" spans="1:6" ht="15.75" customHeight="1">
      <c r="A16" s="7">
        <v>1060600000</v>
      </c>
      <c r="B16" s="11" t="s">
        <v>7</v>
      </c>
      <c r="C16" s="9">
        <v>750</v>
      </c>
      <c r="D16" s="10">
        <v>640.63620000000003</v>
      </c>
      <c r="E16" s="9">
        <f t="shared" si="0"/>
        <v>85.418160000000015</v>
      </c>
      <c r="F16" s="9">
        <f t="shared" si="1"/>
        <v>-109.36379999999997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2</v>
      </c>
      <c r="E17" s="5">
        <f t="shared" si="0"/>
        <v>50</v>
      </c>
      <c r="F17" s="5">
        <f t="shared" si="1"/>
        <v>-2</v>
      </c>
    </row>
    <row r="18" spans="1:6" ht="21.75" customHeight="1">
      <c r="A18" s="7">
        <v>1080400001</v>
      </c>
      <c r="B18" s="8" t="s">
        <v>223</v>
      </c>
      <c r="C18" s="9">
        <v>4</v>
      </c>
      <c r="D18" s="10">
        <v>2</v>
      </c>
      <c r="E18" s="9">
        <f t="shared" si="0"/>
        <v>50</v>
      </c>
      <c r="F18" s="9">
        <f t="shared" si="1"/>
        <v>-2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C26+C30+C32+C38+C35</f>
        <v>436.19400000000007</v>
      </c>
      <c r="D25" s="5">
        <f>D26+D30+D32+D38+D35</f>
        <v>357.15846999999997</v>
      </c>
      <c r="E25" s="5">
        <f t="shared" si="0"/>
        <v>81.880647143243579</v>
      </c>
      <c r="F25" s="5">
        <f t="shared" si="1"/>
        <v>-79.035530000000108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359.20000000000005</v>
      </c>
      <c r="D26" s="5">
        <f>D27+D28+D29</f>
        <v>310.14217000000002</v>
      </c>
      <c r="E26" s="5">
        <f t="shared" si="0"/>
        <v>86.342474944320713</v>
      </c>
      <c r="F26" s="5">
        <f t="shared" si="1"/>
        <v>-49.057830000000024</v>
      </c>
    </row>
    <row r="27" spans="1:6">
      <c r="A27" s="16">
        <v>1110501101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285</v>
      </c>
      <c r="C28" s="12">
        <v>328.6</v>
      </c>
      <c r="D28" s="10">
        <v>286.35142000000002</v>
      </c>
      <c r="E28" s="9">
        <f t="shared" si="0"/>
        <v>87.14285453438832</v>
      </c>
      <c r="F28" s="9">
        <f t="shared" si="1"/>
        <v>-42.248580000000004</v>
      </c>
    </row>
    <row r="29" spans="1:6" ht="17.25" customHeight="1">
      <c r="A29" s="7">
        <v>1110503505</v>
      </c>
      <c r="B29" s="11" t="s">
        <v>220</v>
      </c>
      <c r="C29" s="12">
        <v>30.6</v>
      </c>
      <c r="D29" s="10">
        <v>23.790749999999999</v>
      </c>
      <c r="E29" s="9">
        <f t="shared" si="0"/>
        <v>77.747549019607845</v>
      </c>
      <c r="F29" s="9">
        <f t="shared" si="1"/>
        <v>-6.8092500000000022</v>
      </c>
    </row>
    <row r="30" spans="1:6" s="15" customFormat="1" ht="24.75" customHeight="1">
      <c r="A30" s="68">
        <v>1130000000</v>
      </c>
      <c r="B30" s="69" t="s">
        <v>128</v>
      </c>
      <c r="C30" s="5">
        <f>C31</f>
        <v>60</v>
      </c>
      <c r="D30" s="5">
        <f>D31</f>
        <v>19.040310000000002</v>
      </c>
      <c r="E30" s="5">
        <f t="shared" si="0"/>
        <v>31.733850000000004</v>
      </c>
      <c r="F30" s="5">
        <f t="shared" si="1"/>
        <v>-40.959689999999995</v>
      </c>
    </row>
    <row r="31" spans="1:6" ht="24.75" customHeight="1">
      <c r="A31" s="7">
        <v>1130206510</v>
      </c>
      <c r="B31" s="8" t="s">
        <v>14</v>
      </c>
      <c r="C31" s="9">
        <v>60</v>
      </c>
      <c r="D31" s="10">
        <v>19.040310000000002</v>
      </c>
      <c r="E31" s="9">
        <f t="shared" si="0"/>
        <v>31.733850000000004</v>
      </c>
      <c r="F31" s="9">
        <f t="shared" si="1"/>
        <v>-40.959689999999995</v>
      </c>
    </row>
    <row r="32" spans="1:6" ht="19.5" customHeight="1">
      <c r="A32" s="70">
        <v>1140000000</v>
      </c>
      <c r="B32" s="71" t="s">
        <v>129</v>
      </c>
      <c r="C32" s="5">
        <v>16.994</v>
      </c>
      <c r="D32" s="5">
        <f>D33+D34</f>
        <v>16.994</v>
      </c>
      <c r="E32" s="5">
        <f t="shared" si="0"/>
        <v>100</v>
      </c>
      <c r="F32" s="5">
        <f t="shared" si="1"/>
        <v>0</v>
      </c>
    </row>
    <row r="33" spans="1:7" ht="18" customHeight="1">
      <c r="A33" s="16">
        <v>1140200000</v>
      </c>
      <c r="B33" s="18" t="s">
        <v>130</v>
      </c>
      <c r="C33" s="9">
        <v>16.994</v>
      </c>
      <c r="D33" s="10">
        <v>16.994</v>
      </c>
      <c r="E33" s="9">
        <f t="shared" si="0"/>
        <v>100</v>
      </c>
      <c r="F33" s="9">
        <f t="shared" si="1"/>
        <v>0</v>
      </c>
    </row>
    <row r="34" spans="1:7" ht="15.75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7.25" customHeight="1">
      <c r="A35" s="3">
        <v>1160000000</v>
      </c>
      <c r="B35" s="13" t="s">
        <v>240</v>
      </c>
      <c r="C35" s="5">
        <f>C37+C36</f>
        <v>0</v>
      </c>
      <c r="D35" s="5">
        <f>D37+D36</f>
        <v>10.98199</v>
      </c>
      <c r="E35" s="5" t="e">
        <f t="shared" si="0"/>
        <v>#DIV/0!</v>
      </c>
      <c r="F35" s="5">
        <f t="shared" si="1"/>
        <v>10.98199</v>
      </c>
    </row>
    <row r="36" spans="1:7" ht="15.75" customHeight="1">
      <c r="A36" s="7">
        <v>1160701000</v>
      </c>
      <c r="B36" s="8" t="s">
        <v>399</v>
      </c>
      <c r="C36" s="9">
        <v>0</v>
      </c>
      <c r="D36" s="9">
        <v>10.98199</v>
      </c>
      <c r="E36" s="9" t="e">
        <f>SUM(D36/C36*100)</f>
        <v>#DIV/0!</v>
      </c>
      <c r="F36" s="9">
        <f>SUM(D36-C36)</f>
        <v>10.98199</v>
      </c>
    </row>
    <row r="37" spans="1:7" ht="12.75" customHeight="1">
      <c r="A37" s="7">
        <v>1169005010</v>
      </c>
      <c r="B37" s="8" t="s">
        <v>308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9" t="e">
        <f t="shared" si="0"/>
        <v>#DIV/0!</v>
      </c>
      <c r="F38" s="5">
        <f t="shared" si="1"/>
        <v>0</v>
      </c>
    </row>
    <row r="39" spans="1:7" ht="14.2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s="271" customFormat="1" ht="14.25" customHeight="1">
      <c r="A40" s="461">
        <v>1170505005</v>
      </c>
      <c r="B40" s="269" t="s">
        <v>216</v>
      </c>
      <c r="C40" s="148">
        <v>0</v>
      </c>
      <c r="D40" s="434">
        <v>0</v>
      </c>
      <c r="E40" s="270" t="e">
        <f t="shared" si="0"/>
        <v>#DIV/0!</v>
      </c>
      <c r="F40" s="270">
        <f t="shared" si="1"/>
        <v>0</v>
      </c>
    </row>
    <row r="41" spans="1:7" s="6" customFormat="1" ht="15" customHeight="1">
      <c r="A41" s="3">
        <v>1000000000</v>
      </c>
      <c r="B41" s="4" t="s">
        <v>16</v>
      </c>
      <c r="C41" s="127">
        <f>SUM(C4,C25)</f>
        <v>2280.7840000000001</v>
      </c>
      <c r="D41" s="127">
        <f>D4+D25</f>
        <v>1818.6997000000001</v>
      </c>
      <c r="E41" s="5">
        <f t="shared" si="0"/>
        <v>79.740111295063457</v>
      </c>
      <c r="F41" s="5">
        <f t="shared" si="1"/>
        <v>-462.08429999999998</v>
      </c>
    </row>
    <row r="42" spans="1:7" s="6" customFormat="1">
      <c r="A42" s="3">
        <v>2000000000</v>
      </c>
      <c r="B42" s="4" t="s">
        <v>17</v>
      </c>
      <c r="C42" s="5">
        <f>C43+C45+C47+C48+C49+C50+C44+C46</f>
        <v>25860.486089999999</v>
      </c>
      <c r="D42" s="5">
        <f>D43+D45+D47+D48+D49+D50+D44+D46</f>
        <v>14703.470749999999</v>
      </c>
      <c r="E42" s="5">
        <f t="shared" si="0"/>
        <v>56.856900132614641</v>
      </c>
      <c r="F42" s="5">
        <f t="shared" si="1"/>
        <v>-11157.01534</v>
      </c>
      <c r="G42" s="19"/>
    </row>
    <row r="43" spans="1:7">
      <c r="A43" s="16">
        <v>2021000000</v>
      </c>
      <c r="B43" s="17" t="s">
        <v>18</v>
      </c>
      <c r="C43" s="435">
        <v>1706.8</v>
      </c>
      <c r="D43" s="20">
        <v>1564.5409999999999</v>
      </c>
      <c r="E43" s="9">
        <f t="shared" si="0"/>
        <v>91.665162877900158</v>
      </c>
      <c r="F43" s="9">
        <f t="shared" si="1"/>
        <v>-142.25900000000001</v>
      </c>
    </row>
    <row r="44" spans="1:7">
      <c r="A44" s="16">
        <v>2021500200</v>
      </c>
      <c r="B44" s="17" t="s">
        <v>227</v>
      </c>
      <c r="C44" s="12">
        <v>1077.5129999999999</v>
      </c>
      <c r="D44" s="20">
        <v>800</v>
      </c>
      <c r="E44" s="9">
        <f t="shared" si="0"/>
        <v>74.245043911303171</v>
      </c>
      <c r="F44" s="9">
        <f t="shared" si="1"/>
        <v>-277.51299999999992</v>
      </c>
    </row>
    <row r="45" spans="1:7" ht="16.5" customHeight="1">
      <c r="A45" s="16">
        <v>2022000000</v>
      </c>
      <c r="B45" s="17" t="s">
        <v>19</v>
      </c>
      <c r="C45" s="12">
        <v>4810.0342199999996</v>
      </c>
      <c r="D45" s="10">
        <v>2933.0690300000001</v>
      </c>
      <c r="E45" s="9">
        <f t="shared" si="0"/>
        <v>60.978132292788558</v>
      </c>
      <c r="F45" s="9">
        <f t="shared" si="1"/>
        <v>-1876.9651899999994</v>
      </c>
    </row>
    <row r="46" spans="1:7">
      <c r="A46" s="16">
        <v>2022999910</v>
      </c>
      <c r="B46" s="18" t="s">
        <v>328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>
      <c r="A47" s="16">
        <v>2023000000</v>
      </c>
      <c r="B47" s="17" t="s">
        <v>20</v>
      </c>
      <c r="C47" s="12">
        <v>198.36600000000001</v>
      </c>
      <c r="D47" s="187">
        <v>180.68299999999999</v>
      </c>
      <c r="E47" s="9">
        <f>SUM(D47/C47*100)</f>
        <v>91.08566992327313</v>
      </c>
      <c r="F47" s="9">
        <f>SUM(D47-C47)</f>
        <v>-17.683000000000021</v>
      </c>
    </row>
    <row r="48" spans="1:7" ht="20.25" customHeight="1">
      <c r="A48" s="16">
        <v>2020400000</v>
      </c>
      <c r="B48" s="17" t="s">
        <v>21</v>
      </c>
      <c r="C48" s="12">
        <v>17830.57559</v>
      </c>
      <c r="D48" s="188">
        <v>8957.2977200000005</v>
      </c>
      <c r="E48" s="9">
        <f t="shared" si="0"/>
        <v>50.235606106981542</v>
      </c>
      <c r="F48" s="9">
        <f t="shared" si="1"/>
        <v>-8873.2778699999999</v>
      </c>
    </row>
    <row r="49" spans="1:8" ht="30.75" customHeight="1">
      <c r="A49" s="16">
        <v>2070000000</v>
      </c>
      <c r="B49" s="18" t="s">
        <v>22</v>
      </c>
      <c r="C49" s="12">
        <v>237.19728000000001</v>
      </c>
      <c r="D49" s="188">
        <v>267.88</v>
      </c>
      <c r="E49" s="9">
        <f t="shared" si="0"/>
        <v>112.93552775984614</v>
      </c>
      <c r="F49" s="9">
        <f t="shared" si="1"/>
        <v>30.682719999999989</v>
      </c>
    </row>
    <row r="50" spans="1:8" ht="23.25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23.25" customHeight="1">
      <c r="A51" s="3">
        <v>3000000000</v>
      </c>
      <c r="B51" s="13" t="s">
        <v>24</v>
      </c>
      <c r="C51" s="191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33">
        <f>C41+C42</f>
        <v>28141.270089999998</v>
      </c>
      <c r="D52" s="498">
        <f>D41+D42</f>
        <v>16522.170449999998</v>
      </c>
      <c r="E52" s="5">
        <f t="shared" si="0"/>
        <v>58.711530777252129</v>
      </c>
      <c r="F52" s="5">
        <f t="shared" si="1"/>
        <v>-11619.09964</v>
      </c>
      <c r="G52" s="94"/>
      <c r="H52" s="94"/>
    </row>
    <row r="53" spans="1:8" s="6" customFormat="1">
      <c r="A53" s="3"/>
      <c r="B53" s="21" t="s">
        <v>306</v>
      </c>
      <c r="C53" s="5">
        <f>C52-C101</f>
        <v>-458.51319000000149</v>
      </c>
      <c r="D53" s="5">
        <f>D52-D101</f>
        <v>549.39596999999776</v>
      </c>
      <c r="E53" s="22"/>
      <c r="F53" s="22"/>
    </row>
    <row r="54" spans="1:8" ht="32.25" customHeight="1">
      <c r="A54" s="23"/>
      <c r="B54" s="24"/>
      <c r="C54" s="183"/>
      <c r="D54" s="25"/>
      <c r="E54" s="26"/>
      <c r="F54" s="27"/>
    </row>
    <row r="55" spans="1:8" ht="31.5">
      <c r="A55" s="28" t="s">
        <v>0</v>
      </c>
      <c r="B55" s="28" t="s">
        <v>26</v>
      </c>
      <c r="C55" s="72" t="s">
        <v>398</v>
      </c>
      <c r="D55" s="73" t="s">
        <v>416</v>
      </c>
      <c r="E55" s="72" t="s">
        <v>2</v>
      </c>
      <c r="F55" s="74" t="s">
        <v>3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27</v>
      </c>
      <c r="B57" s="31" t="s">
        <v>28</v>
      </c>
      <c r="C57" s="22">
        <f>C58+C59+C60+C61+C62+C64+C63</f>
        <v>1377.4740000000002</v>
      </c>
      <c r="D57" s="475">
        <f>D58+D59+D60+D61+D62+D64+D63</f>
        <v>1278.2563500000001</v>
      </c>
      <c r="E57" s="34">
        <f>SUM(D57/C57*100)</f>
        <v>92.797130835137352</v>
      </c>
      <c r="F57" s="34">
        <f>SUM(D57-C57)</f>
        <v>-99.217650000000049</v>
      </c>
    </row>
    <row r="58" spans="1:8" s="6" customFormat="1" ht="1.5" hidden="1" customHeight="1">
      <c r="A58" s="35" t="s">
        <v>29</v>
      </c>
      <c r="B58" s="36" t="s">
        <v>30</v>
      </c>
      <c r="C58" s="92">
        <v>0</v>
      </c>
      <c r="D58" s="92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31</v>
      </c>
      <c r="B59" s="39" t="s">
        <v>32</v>
      </c>
      <c r="C59" s="92">
        <v>1341.9</v>
      </c>
      <c r="D59" s="92">
        <v>1250.35635</v>
      </c>
      <c r="E59" s="38">
        <f t="shared" ref="E59:E101" si="3">SUM(D59/C59*100)</f>
        <v>93.178057232282583</v>
      </c>
      <c r="F59" s="38">
        <f t="shared" ref="F59:F101" si="4">SUM(D59-C59)</f>
        <v>-91.543650000000071</v>
      </c>
    </row>
    <row r="60" spans="1:8" ht="16.5" hidden="1" customHeight="1">
      <c r="A60" s="35" t="s">
        <v>33</v>
      </c>
      <c r="B60" s="39" t="s">
        <v>34</v>
      </c>
      <c r="C60" s="92"/>
      <c r="D60" s="92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9.5" customHeight="1">
      <c r="A62" s="35" t="s">
        <v>37</v>
      </c>
      <c r="B62" s="39" t="s">
        <v>38</v>
      </c>
      <c r="C62" s="92">
        <v>23</v>
      </c>
      <c r="D62" s="92">
        <v>23</v>
      </c>
      <c r="E62" s="38">
        <f t="shared" si="3"/>
        <v>100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41</v>
      </c>
      <c r="B64" s="39" t="s">
        <v>42</v>
      </c>
      <c r="C64" s="92">
        <v>7.5739999999999998</v>
      </c>
      <c r="D64" s="92">
        <v>4.9000000000000004</v>
      </c>
      <c r="E64" s="38">
        <f t="shared" si="3"/>
        <v>64.695009242144181</v>
      </c>
      <c r="F64" s="38">
        <f t="shared" si="4"/>
        <v>-2.6739999999999995</v>
      </c>
    </row>
    <row r="65" spans="1:7" s="6" customFormat="1">
      <c r="A65" s="41" t="s">
        <v>43</v>
      </c>
      <c r="B65" s="42" t="s">
        <v>44</v>
      </c>
      <c r="C65" s="22">
        <f>C66</f>
        <v>198.36600000000001</v>
      </c>
      <c r="D65" s="480">
        <f>D66</f>
        <v>160.7176</v>
      </c>
      <c r="E65" s="34">
        <f t="shared" si="3"/>
        <v>81.020739441234895</v>
      </c>
      <c r="F65" s="34">
        <f t="shared" si="4"/>
        <v>-37.648400000000009</v>
      </c>
    </row>
    <row r="66" spans="1:7" ht="15" customHeight="1">
      <c r="A66" s="43" t="s">
        <v>45</v>
      </c>
      <c r="B66" s="44" t="s">
        <v>46</v>
      </c>
      <c r="C66" s="92">
        <v>198.36600000000001</v>
      </c>
      <c r="D66" s="92">
        <v>160.7176</v>
      </c>
      <c r="E66" s="38">
        <f t="shared" si="3"/>
        <v>81.020739441234895</v>
      </c>
      <c r="F66" s="38">
        <f t="shared" si="4"/>
        <v>-37.648400000000009</v>
      </c>
    </row>
    <row r="67" spans="1:7" s="6" customFormat="1" ht="18" customHeight="1">
      <c r="A67" s="30" t="s">
        <v>47</v>
      </c>
      <c r="B67" s="31" t="s">
        <v>48</v>
      </c>
      <c r="C67" s="22">
        <f>C70+C71+C72</f>
        <v>7</v>
      </c>
      <c r="D67" s="22">
        <f>D70+D71+D72</f>
        <v>2.8696000000000002</v>
      </c>
      <c r="E67" s="34">
        <f t="shared" si="3"/>
        <v>40.994285714285716</v>
      </c>
      <c r="F67" s="34">
        <f t="shared" si="4"/>
        <v>-4.1303999999999998</v>
      </c>
    </row>
    <row r="68" spans="1:7" ht="0.75" hidden="1" customHeight="1">
      <c r="A68" s="35" t="s">
        <v>49</v>
      </c>
      <c r="B68" s="39" t="s">
        <v>50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51</v>
      </c>
      <c r="B69" s="39" t="s">
        <v>52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2">
        <v>3</v>
      </c>
      <c r="D70" s="92">
        <v>2.8696000000000002</v>
      </c>
      <c r="E70" s="34">
        <f t="shared" si="3"/>
        <v>95.653333333333336</v>
      </c>
      <c r="F70" s="34">
        <f t="shared" si="4"/>
        <v>-0.13039999999999985</v>
      </c>
    </row>
    <row r="71" spans="1:7" ht="17.25" customHeight="1">
      <c r="A71" s="46" t="s">
        <v>214</v>
      </c>
      <c r="B71" s="47" t="s">
        <v>215</v>
      </c>
      <c r="C71" s="92">
        <v>2</v>
      </c>
      <c r="D71" s="92">
        <v>0</v>
      </c>
      <c r="E71" s="38">
        <f t="shared" si="3"/>
        <v>0</v>
      </c>
      <c r="F71" s="38">
        <f t="shared" si="4"/>
        <v>-2</v>
      </c>
    </row>
    <row r="72" spans="1:7" ht="17.25" customHeight="1">
      <c r="A72" s="46" t="s">
        <v>336</v>
      </c>
      <c r="B72" s="47" t="s">
        <v>387</v>
      </c>
      <c r="C72" s="92">
        <v>2</v>
      </c>
      <c r="D72" s="92">
        <v>0</v>
      </c>
      <c r="E72" s="38">
        <f>SUM(D72/C72*100)</f>
        <v>0</v>
      </c>
      <c r="F72" s="38">
        <f>SUM(D72-C72)</f>
        <v>-2</v>
      </c>
    </row>
    <row r="73" spans="1:7" s="6" customFormat="1" ht="19.5" customHeight="1">
      <c r="A73" s="30" t="s">
        <v>55</v>
      </c>
      <c r="B73" s="31" t="s">
        <v>56</v>
      </c>
      <c r="C73" s="105">
        <f>C75+C76+C77+C74</f>
        <v>5315.4870199999996</v>
      </c>
      <c r="D73" s="481">
        <f>SUM(D74:D77)</f>
        <v>3027.2862</v>
      </c>
      <c r="E73" s="34">
        <f t="shared" si="3"/>
        <v>56.952188738483656</v>
      </c>
      <c r="F73" s="34">
        <f t="shared" si="4"/>
        <v>-2288.2008199999996</v>
      </c>
    </row>
    <row r="74" spans="1:7" ht="17.25" customHeight="1">
      <c r="A74" s="35" t="s">
        <v>57</v>
      </c>
      <c r="B74" s="39" t="s">
        <v>58</v>
      </c>
      <c r="C74" s="106">
        <v>1.673</v>
      </c>
      <c r="D74" s="92">
        <v>0</v>
      </c>
      <c r="E74" s="38">
        <f t="shared" si="3"/>
        <v>0</v>
      </c>
      <c r="F74" s="38">
        <f t="shared" si="4"/>
        <v>-1.673</v>
      </c>
    </row>
    <row r="75" spans="1:7" s="6" customFormat="1" ht="17.25" customHeight="1">
      <c r="A75" s="35" t="s">
        <v>59</v>
      </c>
      <c r="B75" s="39" t="s">
        <v>60</v>
      </c>
      <c r="C75" s="106">
        <v>0</v>
      </c>
      <c r="D75" s="92">
        <v>0</v>
      </c>
      <c r="E75" s="38" t="e">
        <f t="shared" si="3"/>
        <v>#DIV/0!</v>
      </c>
      <c r="F75" s="38">
        <f t="shared" si="4"/>
        <v>0</v>
      </c>
      <c r="G75" s="50"/>
    </row>
    <row r="76" spans="1:7" ht="16.5" customHeight="1">
      <c r="A76" s="35" t="s">
        <v>61</v>
      </c>
      <c r="B76" s="39" t="s">
        <v>62</v>
      </c>
      <c r="C76" s="106">
        <v>3562.62147</v>
      </c>
      <c r="D76" s="92">
        <v>2453.8304600000001</v>
      </c>
      <c r="E76" s="38">
        <f t="shared" si="3"/>
        <v>68.877103017065693</v>
      </c>
      <c r="F76" s="38">
        <f t="shared" si="4"/>
        <v>-1108.7910099999999</v>
      </c>
    </row>
    <row r="77" spans="1:7" ht="16.5" customHeight="1">
      <c r="A77" s="35" t="s">
        <v>63</v>
      </c>
      <c r="B77" s="39" t="s">
        <v>64</v>
      </c>
      <c r="C77" s="106">
        <v>1751.19255</v>
      </c>
      <c r="D77" s="92">
        <v>573.45573999999999</v>
      </c>
      <c r="E77" s="38">
        <f t="shared" si="3"/>
        <v>32.746584034976621</v>
      </c>
      <c r="F77" s="38">
        <f t="shared" si="4"/>
        <v>-1177.7368099999999</v>
      </c>
    </row>
    <row r="78" spans="1:7" ht="15.75" hidden="1" customHeight="1">
      <c r="A78" s="30" t="s">
        <v>47</v>
      </c>
      <c r="B78" s="31" t="s">
        <v>48</v>
      </c>
      <c r="C78" s="105">
        <v>0</v>
      </c>
      <c r="D78" s="92"/>
      <c r="E78" s="38"/>
      <c r="F78" s="38"/>
    </row>
    <row r="79" spans="1:7" ht="15.75" hidden="1" customHeight="1">
      <c r="A79" s="46" t="s">
        <v>214</v>
      </c>
      <c r="B79" s="47" t="s">
        <v>215</v>
      </c>
      <c r="C79" s="106">
        <v>0</v>
      </c>
      <c r="D79" s="92"/>
      <c r="E79" s="38"/>
      <c r="F79" s="38"/>
    </row>
    <row r="80" spans="1:7" s="6" customFormat="1" ht="19.5" customHeight="1">
      <c r="A80" s="30" t="s">
        <v>65</v>
      </c>
      <c r="B80" s="31" t="s">
        <v>66</v>
      </c>
      <c r="C80" s="22">
        <f>SUM(C81:C83)</f>
        <v>6633.8727900000004</v>
      </c>
      <c r="D80" s="480">
        <f>SUM(D81:D83)</f>
        <v>6073.4783799999996</v>
      </c>
      <c r="E80" s="34">
        <f t="shared" si="3"/>
        <v>91.552530056880983</v>
      </c>
      <c r="F80" s="34">
        <f t="shared" si="4"/>
        <v>-560.39441000000079</v>
      </c>
    </row>
    <row r="81" spans="1:6" ht="17.25" customHeight="1">
      <c r="A81" s="35" t="s">
        <v>67</v>
      </c>
      <c r="B81" s="51" t="s">
        <v>68</v>
      </c>
      <c r="C81" s="92"/>
      <c r="D81" s="92"/>
      <c r="E81" s="38" t="e">
        <f t="shared" si="3"/>
        <v>#DIV/0!</v>
      </c>
      <c r="F81" s="38">
        <f t="shared" si="4"/>
        <v>0</v>
      </c>
    </row>
    <row r="82" spans="1:6">
      <c r="A82" s="35" t="s">
        <v>69</v>
      </c>
      <c r="B82" s="51" t="s">
        <v>70</v>
      </c>
      <c r="C82" s="92">
        <v>617</v>
      </c>
      <c r="D82" s="92">
        <v>244.36099999999999</v>
      </c>
      <c r="E82" s="38">
        <f t="shared" si="3"/>
        <v>39.60470016207455</v>
      </c>
      <c r="F82" s="38">
        <f t="shared" si="4"/>
        <v>-372.63900000000001</v>
      </c>
    </row>
    <row r="83" spans="1:6" ht="18" customHeight="1">
      <c r="A83" s="35" t="s">
        <v>71</v>
      </c>
      <c r="B83" s="39" t="s">
        <v>72</v>
      </c>
      <c r="C83" s="92">
        <v>6016.8727900000004</v>
      </c>
      <c r="D83" s="92">
        <v>5829.1173799999997</v>
      </c>
      <c r="E83" s="38">
        <f t="shared" si="3"/>
        <v>96.879518371868372</v>
      </c>
      <c r="F83" s="38">
        <f t="shared" si="4"/>
        <v>-187.75541000000067</v>
      </c>
    </row>
    <row r="84" spans="1:6" s="6" customFormat="1" ht="16.5" customHeight="1">
      <c r="A84" s="30" t="s">
        <v>83</v>
      </c>
      <c r="B84" s="31" t="s">
        <v>84</v>
      </c>
      <c r="C84" s="22">
        <f>C85</f>
        <v>15065.58347</v>
      </c>
      <c r="D84" s="22">
        <f>SUM(D85)</f>
        <v>5430.1663500000004</v>
      </c>
      <c r="E84" s="34">
        <f t="shared" si="3"/>
        <v>36.043518399490175</v>
      </c>
      <c r="F84" s="34">
        <f t="shared" si="4"/>
        <v>-9635.4171199999982</v>
      </c>
    </row>
    <row r="85" spans="1:6" ht="14.25" customHeight="1">
      <c r="A85" s="35" t="s">
        <v>85</v>
      </c>
      <c r="B85" s="39" t="s">
        <v>229</v>
      </c>
      <c r="C85" s="92">
        <v>15065.58347</v>
      </c>
      <c r="D85" s="92">
        <v>5430.1663500000004</v>
      </c>
      <c r="E85" s="38">
        <f t="shared" si="3"/>
        <v>36.043518399490175</v>
      </c>
      <c r="F85" s="38">
        <f t="shared" si="4"/>
        <v>-9635.4171199999982</v>
      </c>
    </row>
    <row r="86" spans="1:6" s="6" customFormat="1" ht="12" hidden="1" customHeight="1">
      <c r="A86" s="52">
        <v>1000</v>
      </c>
      <c r="B86" s="31" t="s">
        <v>86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hidden="1" customHeight="1">
      <c r="A87" s="53">
        <v>1001</v>
      </c>
      <c r="B87" s="54" t="s">
        <v>87</v>
      </c>
      <c r="C87" s="92"/>
      <c r="D87" s="92"/>
      <c r="E87" s="38" t="e">
        <f t="shared" si="3"/>
        <v>#DIV/0!</v>
      </c>
      <c r="F87" s="38">
        <f t="shared" si="4"/>
        <v>0</v>
      </c>
    </row>
    <row r="88" spans="1:6" ht="12" hidden="1" customHeight="1">
      <c r="A88" s="53">
        <v>1003</v>
      </c>
      <c r="B88" s="54" t="s">
        <v>88</v>
      </c>
      <c r="C88" s="92">
        <v>0</v>
      </c>
      <c r="D88" s="92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53">
        <v>1004</v>
      </c>
      <c r="B89" s="54" t="s">
        <v>89</v>
      </c>
      <c r="C89" s="92">
        <v>0</v>
      </c>
      <c r="D89" s="190">
        <v>0</v>
      </c>
      <c r="E89" s="38" t="e">
        <f t="shared" si="3"/>
        <v>#DIV/0!</v>
      </c>
      <c r="F89" s="38">
        <f t="shared" si="4"/>
        <v>0</v>
      </c>
    </row>
    <row r="90" spans="1:6" ht="19.5" hidden="1" customHeight="1">
      <c r="A90" s="35" t="s">
        <v>90</v>
      </c>
      <c r="B90" s="39" t="s">
        <v>91</v>
      </c>
      <c r="C90" s="92">
        <v>0</v>
      </c>
      <c r="D90" s="92">
        <v>0</v>
      </c>
      <c r="E90" s="38"/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2</v>
      </c>
      <c r="D91" s="22">
        <f>D92+D93+D94+D95+D96</f>
        <v>0</v>
      </c>
      <c r="E91" s="38">
        <f t="shared" si="3"/>
        <v>0</v>
      </c>
      <c r="F91" s="22">
        <f>F92+F93+F94+F95+F96</f>
        <v>-2</v>
      </c>
    </row>
    <row r="92" spans="1:6" ht="19.5" customHeight="1">
      <c r="A92" s="35" t="s">
        <v>94</v>
      </c>
      <c r="B92" s="39" t="s">
        <v>95</v>
      </c>
      <c r="C92" s="92">
        <v>2</v>
      </c>
      <c r="D92" s="92">
        <v>0</v>
      </c>
      <c r="E92" s="38">
        <f t="shared" si="3"/>
        <v>0</v>
      </c>
      <c r="F92" s="38">
        <f>SUM(D92-C92)</f>
        <v>-2</v>
      </c>
    </row>
    <row r="93" spans="1:6" ht="15" hidden="1" customHeight="1">
      <c r="A93" s="35" t="s">
        <v>96</v>
      </c>
      <c r="B93" s="39" t="s">
        <v>97</v>
      </c>
      <c r="C93" s="9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92"/>
      <c r="D94" s="92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92"/>
      <c r="D95" s="92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92"/>
      <c r="D96" s="92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112</v>
      </c>
      <c r="C97" s="105">
        <f>C98+C99+C100</f>
        <v>0</v>
      </c>
      <c r="D97" s="105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hidden="1" customHeight="1">
      <c r="A98" s="53">
        <v>1401</v>
      </c>
      <c r="B98" s="54" t="s">
        <v>113</v>
      </c>
      <c r="C98" s="92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1402</v>
      </c>
      <c r="B99" s="54" t="s">
        <v>114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13.5" hidden="1" customHeight="1">
      <c r="A100" s="53">
        <v>1403</v>
      </c>
      <c r="B100" s="54" t="s">
        <v>115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116</v>
      </c>
      <c r="C101" s="102">
        <f>C57+C65+C67+C73+C80+C84+C86+C91+C78</f>
        <v>28599.78328</v>
      </c>
      <c r="D101" s="475">
        <f>D57+D65+D67+D73+D80+D84+D91+D86</f>
        <v>15972.77448</v>
      </c>
      <c r="E101" s="34">
        <f t="shared" si="3"/>
        <v>55.849285022973781</v>
      </c>
      <c r="F101" s="34">
        <f t="shared" si="4"/>
        <v>-12627.0088</v>
      </c>
    </row>
    <row r="102" spans="1:6" ht="5.25" customHeight="1">
      <c r="C102" s="120"/>
      <c r="D102" s="61"/>
    </row>
    <row r="103" spans="1:6" s="65" customFormat="1" ht="12.75">
      <c r="A103" s="63" t="s">
        <v>117</v>
      </c>
      <c r="B103" s="63"/>
      <c r="C103" s="116"/>
      <c r="D103" s="64"/>
    </row>
    <row r="104" spans="1:6" s="65" customFormat="1" ht="12.75">
      <c r="A104" s="66" t="s">
        <v>118</v>
      </c>
      <c r="B104" s="66"/>
      <c r="C104" s="65" t="s">
        <v>119</v>
      </c>
    </row>
    <row r="105" spans="1:6">
      <c r="C105" s="120"/>
    </row>
    <row r="143" hidden="1"/>
  </sheetData>
  <customSheetViews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1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3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5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6"/>
    </customSheetView>
    <customSheetView guid="{B30CE22D-C12F-4E12-8BB9-3AAE0A6991CC}" scale="70" showPageBreaks="1" fitToPage="1" printArea="1" hiddenRows="1" view="pageBreakPreview" topLeftCell="A36">
      <selection activeCell="C52" sqref="C52:D52"/>
      <pageMargins left="0.70866141732283472" right="0.70866141732283472" top="0.74803149606299213" bottom="0.74803149606299213" header="0.31496062992125984" footer="0.31496062992125984"/>
      <pageSetup paperSize="9" scale="53" orientation="portrait" r:id="rId7"/>
    </customSheetView>
    <customSheetView guid="{1718F1EE-9F48-4DBE-9531-3B70F9C4A5DD}" scale="70" showPageBreaks="1" printArea="1" hiddenRows="1" view="pageBreakPreview" topLeftCell="A37">
      <selection activeCell="C92" sqref="C92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fitToPage="1" printArea="1" hiddenRows="1" view="pageBreakPreview" topLeftCell="A4">
      <selection activeCell="C33" sqref="C33"/>
      <pageMargins left="0.70866141732283472" right="0.70866141732283472" top="0.74803149606299213" bottom="0.74803149606299213" header="0.31496062992125984" footer="0.31496062992125984"/>
      <pageSetup paperSize="9" scale="51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34" zoomScale="7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6" t="s">
        <v>422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4">
        <f>C5+C12+C14+C17+C20+C7</f>
        <v>4722.5625799999998</v>
      </c>
      <c r="D4" s="194">
        <f>D5+D12+D14+D17+D20+D7</f>
        <v>5099.3280599999998</v>
      </c>
      <c r="E4" s="5">
        <f>SUM(D4/C4*100)</f>
        <v>107.97798808629022</v>
      </c>
      <c r="F4" s="5">
        <f>SUM(D4-C4)</f>
        <v>376.76548000000003</v>
      </c>
    </row>
    <row r="5" spans="1:6" s="6" customFormat="1">
      <c r="A5" s="68">
        <v>1010000000</v>
      </c>
      <c r="B5" s="67" t="s">
        <v>5</v>
      </c>
      <c r="C5" s="194">
        <f>C6</f>
        <v>484.2</v>
      </c>
      <c r="D5" s="194">
        <f>D6</f>
        <v>419.28741000000002</v>
      </c>
      <c r="E5" s="5">
        <f t="shared" ref="E5:E50" si="0">SUM(D5/C5*100)</f>
        <v>86.593847583643125</v>
      </c>
      <c r="F5" s="5">
        <f t="shared" ref="F5:F50" si="1">SUM(D5-C5)</f>
        <v>-64.912589999999966</v>
      </c>
    </row>
    <row r="6" spans="1:6">
      <c r="A6" s="7">
        <v>1010200001</v>
      </c>
      <c r="B6" s="8" t="s">
        <v>224</v>
      </c>
      <c r="C6" s="220">
        <v>484.2</v>
      </c>
      <c r="D6" s="221">
        <v>419.28741000000002</v>
      </c>
      <c r="E6" s="9">
        <f t="shared" ref="E6:E11" si="2">SUM(D6/C6*100)</f>
        <v>86.593847583643125</v>
      </c>
      <c r="F6" s="9">
        <f t="shared" si="1"/>
        <v>-64.912589999999966</v>
      </c>
    </row>
    <row r="7" spans="1:6" ht="31.5">
      <c r="A7" s="3">
        <v>1030000000</v>
      </c>
      <c r="B7" s="13" t="s">
        <v>266</v>
      </c>
      <c r="C7" s="194">
        <f>C8+C10+C9</f>
        <v>833.59</v>
      </c>
      <c r="D7" s="194">
        <f>D8+D10+D9+D11</f>
        <v>727.02728999999999</v>
      </c>
      <c r="E7" s="5">
        <f t="shared" si="2"/>
        <v>87.216412145059323</v>
      </c>
      <c r="F7" s="5">
        <f t="shared" si="1"/>
        <v>-106.56271000000004</v>
      </c>
    </row>
    <row r="8" spans="1:6">
      <c r="A8" s="7">
        <v>1030223001</v>
      </c>
      <c r="B8" s="8" t="s">
        <v>268</v>
      </c>
      <c r="C8" s="220">
        <v>310.93</v>
      </c>
      <c r="D8" s="221">
        <v>334.93049999999999</v>
      </c>
      <c r="E8" s="9">
        <f t="shared" si="2"/>
        <v>107.71893995433055</v>
      </c>
      <c r="F8" s="9">
        <f t="shared" si="1"/>
        <v>24.000499999999988</v>
      </c>
    </row>
    <row r="9" spans="1:6">
      <c r="A9" s="7">
        <v>1030224001</v>
      </c>
      <c r="B9" s="8" t="s">
        <v>274</v>
      </c>
      <c r="C9" s="220">
        <v>3.33</v>
      </c>
      <c r="D9" s="221">
        <v>2.40286</v>
      </c>
      <c r="E9" s="9">
        <f t="shared" si="2"/>
        <v>72.157957957957947</v>
      </c>
      <c r="F9" s="9">
        <f t="shared" si="1"/>
        <v>-0.92714000000000008</v>
      </c>
    </row>
    <row r="10" spans="1:6">
      <c r="A10" s="7">
        <v>1030225001</v>
      </c>
      <c r="B10" s="8" t="s">
        <v>267</v>
      </c>
      <c r="C10" s="220">
        <v>519.33000000000004</v>
      </c>
      <c r="D10" s="221">
        <v>450.02168</v>
      </c>
      <c r="E10" s="9">
        <f t="shared" si="2"/>
        <v>86.654281478058266</v>
      </c>
      <c r="F10" s="9">
        <f t="shared" si="1"/>
        <v>-69.308320000000037</v>
      </c>
    </row>
    <row r="11" spans="1:6">
      <c r="A11" s="7">
        <v>1030226001</v>
      </c>
      <c r="B11" s="8" t="s">
        <v>275</v>
      </c>
      <c r="C11" s="220">
        <v>0</v>
      </c>
      <c r="D11" s="219">
        <v>-60.327750000000002</v>
      </c>
      <c r="E11" s="9" t="e">
        <f t="shared" si="2"/>
        <v>#DIV/0!</v>
      </c>
      <c r="F11" s="9">
        <f t="shared" si="1"/>
        <v>-60.327750000000002</v>
      </c>
    </row>
    <row r="12" spans="1:6" s="6" customFormat="1">
      <c r="A12" s="68">
        <v>1050000000</v>
      </c>
      <c r="B12" s="67" t="s">
        <v>6</v>
      </c>
      <c r="C12" s="194">
        <f>SUM(C13:C13)</f>
        <v>100</v>
      </c>
      <c r="D12" s="194">
        <f>D13</f>
        <v>97.428640000000001</v>
      </c>
      <c r="E12" s="5">
        <f t="shared" si="0"/>
        <v>97.428640000000001</v>
      </c>
      <c r="F12" s="5">
        <f t="shared" si="1"/>
        <v>-2.5713599999999985</v>
      </c>
    </row>
    <row r="13" spans="1:6" ht="15.75" customHeight="1">
      <c r="A13" s="7">
        <v>1050300000</v>
      </c>
      <c r="B13" s="11" t="s">
        <v>225</v>
      </c>
      <c r="C13" s="222">
        <v>100</v>
      </c>
      <c r="D13" s="221">
        <v>97.428640000000001</v>
      </c>
      <c r="E13" s="9">
        <f t="shared" si="0"/>
        <v>97.428640000000001</v>
      </c>
      <c r="F13" s="9">
        <f t="shared" si="1"/>
        <v>-2.5713599999999985</v>
      </c>
    </row>
    <row r="14" spans="1:6" s="6" customFormat="1" ht="15.75" customHeight="1">
      <c r="A14" s="68">
        <v>1060000000</v>
      </c>
      <c r="B14" s="67" t="s">
        <v>133</v>
      </c>
      <c r="C14" s="194">
        <f>C15+C16</f>
        <v>3284.7725799999998</v>
      </c>
      <c r="D14" s="194">
        <f>D15+D16</f>
        <v>3849.6847200000002</v>
      </c>
      <c r="E14" s="5">
        <f t="shared" si="0"/>
        <v>117.19790719879914</v>
      </c>
      <c r="F14" s="5">
        <f t="shared" si="1"/>
        <v>564.91214000000036</v>
      </c>
    </row>
    <row r="15" spans="1:6" s="6" customFormat="1" ht="15.75" customHeight="1">
      <c r="A15" s="7">
        <v>1060100000</v>
      </c>
      <c r="B15" s="11" t="s">
        <v>8</v>
      </c>
      <c r="C15" s="220">
        <v>340</v>
      </c>
      <c r="D15" s="221">
        <v>329.58305000000001</v>
      </c>
      <c r="E15" s="9">
        <f t="shared" si="0"/>
        <v>96.936191176470587</v>
      </c>
      <c r="F15" s="9">
        <f>SUM(D15-C15)</f>
        <v>-10.416949999999986</v>
      </c>
    </row>
    <row r="16" spans="1:6" ht="15.75" customHeight="1">
      <c r="A16" s="7">
        <v>1060600000</v>
      </c>
      <c r="B16" s="11" t="s">
        <v>7</v>
      </c>
      <c r="C16" s="220">
        <v>2944.7725799999998</v>
      </c>
      <c r="D16" s="221">
        <v>3520.10167</v>
      </c>
      <c r="E16" s="9">
        <f t="shared" si="0"/>
        <v>119.53730124721551</v>
      </c>
      <c r="F16" s="9">
        <f t="shared" si="1"/>
        <v>575.32909000000018</v>
      </c>
    </row>
    <row r="17" spans="1:6" s="6" customFormat="1">
      <c r="A17" s="3">
        <v>1080000000</v>
      </c>
      <c r="B17" s="4" t="s">
        <v>10</v>
      </c>
      <c r="C17" s="194">
        <f>C18</f>
        <v>20</v>
      </c>
      <c r="D17" s="194">
        <f>D18</f>
        <v>5.9</v>
      </c>
      <c r="E17" s="5">
        <f t="shared" si="0"/>
        <v>29.500000000000004</v>
      </c>
      <c r="F17" s="5">
        <f t="shared" si="1"/>
        <v>-14.1</v>
      </c>
    </row>
    <row r="18" spans="1:6" ht="18" customHeight="1">
      <c r="A18" s="7">
        <v>1080400001</v>
      </c>
      <c r="B18" s="8" t="s">
        <v>223</v>
      </c>
      <c r="C18" s="220">
        <v>20</v>
      </c>
      <c r="D18" s="221">
        <v>5.9</v>
      </c>
      <c r="E18" s="9">
        <f t="shared" si="0"/>
        <v>29.500000000000004</v>
      </c>
      <c r="F18" s="9">
        <f t="shared" si="1"/>
        <v>-14.1</v>
      </c>
    </row>
    <row r="19" spans="1:6" ht="47.25" hidden="1" customHeight="1">
      <c r="A19" s="7">
        <v>1080714001</v>
      </c>
      <c r="B19" s="8" t="s">
        <v>11</v>
      </c>
      <c r="C19" s="220"/>
      <c r="D19" s="221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94">
        <f>C21+C22+C23+C24</f>
        <v>0</v>
      </c>
      <c r="D20" s="194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94"/>
      <c r="D21" s="223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94"/>
      <c r="D22" s="223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94"/>
      <c r="D23" s="223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94"/>
      <c r="D24" s="223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4">
        <f>C26+C29+C31+C36</f>
        <v>297.5</v>
      </c>
      <c r="D25" s="93">
        <f>D26+D29+D31+D36+D34</f>
        <v>144.77764999999999</v>
      </c>
      <c r="E25" s="5">
        <f t="shared" si="0"/>
        <v>48.664756302521006</v>
      </c>
      <c r="F25" s="5">
        <f t="shared" si="1"/>
        <v>-152.72235000000001</v>
      </c>
    </row>
    <row r="26" spans="1:6" s="6" customFormat="1" ht="30" customHeight="1">
      <c r="A26" s="68">
        <v>1110000000</v>
      </c>
      <c r="B26" s="69" t="s">
        <v>126</v>
      </c>
      <c r="C26" s="194">
        <f>C27+C28</f>
        <v>227.5</v>
      </c>
      <c r="D26" s="93">
        <f>D27+D28</f>
        <v>79.754000000000005</v>
      </c>
      <c r="E26" s="5">
        <f t="shared" si="0"/>
        <v>35.056703296703304</v>
      </c>
      <c r="F26" s="5">
        <f t="shared" si="1"/>
        <v>-147.74599999999998</v>
      </c>
    </row>
    <row r="27" spans="1:6" ht="15" customHeight="1">
      <c r="A27" s="16">
        <v>1110502510</v>
      </c>
      <c r="B27" s="17" t="s">
        <v>221</v>
      </c>
      <c r="C27" s="222">
        <v>215.5</v>
      </c>
      <c r="D27" s="219">
        <v>70.754000000000005</v>
      </c>
      <c r="E27" s="9">
        <f t="shared" si="0"/>
        <v>32.832482598607896</v>
      </c>
      <c r="F27" s="9">
        <f t="shared" si="1"/>
        <v>-144.74599999999998</v>
      </c>
    </row>
    <row r="28" spans="1:6" ht="15.75" customHeight="1">
      <c r="A28" s="7">
        <v>1110503505</v>
      </c>
      <c r="B28" s="11" t="s">
        <v>220</v>
      </c>
      <c r="C28" s="12">
        <v>12</v>
      </c>
      <c r="D28" s="10">
        <v>9</v>
      </c>
      <c r="E28" s="9">
        <f t="shared" si="0"/>
        <v>75</v>
      </c>
      <c r="F28" s="9">
        <f t="shared" si="1"/>
        <v>-3</v>
      </c>
    </row>
    <row r="29" spans="1:6" s="15" customFormat="1" ht="29.25">
      <c r="A29" s="68">
        <v>1130000000</v>
      </c>
      <c r="B29" s="69" t="s">
        <v>128</v>
      </c>
      <c r="C29" s="5">
        <f>C30</f>
        <v>70</v>
      </c>
      <c r="D29" s="5">
        <f>D30</f>
        <v>51.111789999999999</v>
      </c>
      <c r="E29" s="5">
        <f t="shared" si="0"/>
        <v>73.016842857142862</v>
      </c>
      <c r="F29" s="5">
        <f t="shared" si="1"/>
        <v>-18.888210000000001</v>
      </c>
    </row>
    <row r="30" spans="1:6" ht="15.75" customHeight="1">
      <c r="A30" s="7">
        <v>1130206005</v>
      </c>
      <c r="B30" s="8" t="s">
        <v>219</v>
      </c>
      <c r="C30" s="9">
        <v>70</v>
      </c>
      <c r="D30" s="10">
        <v>51.111789999999999</v>
      </c>
      <c r="E30" s="9">
        <f t="shared" si="0"/>
        <v>73.016842857142862</v>
      </c>
      <c r="F30" s="9">
        <f t="shared" si="1"/>
        <v>-18.888210000000001</v>
      </c>
    </row>
    <row r="31" spans="1:6" ht="1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240</v>
      </c>
      <c r="C34" s="5">
        <f>C35</f>
        <v>0</v>
      </c>
      <c r="D34" s="5">
        <f>D35</f>
        <v>13.911860000000001</v>
      </c>
      <c r="E34" s="5" t="e">
        <f>SUM(D34/C34*100)</f>
        <v>#DIV/0!</v>
      </c>
      <c r="F34" s="5">
        <f>SUM(D34-C34)</f>
        <v>13.911860000000001</v>
      </c>
    </row>
    <row r="35" spans="1:7" ht="17.25" customHeight="1">
      <c r="A35" s="7">
        <v>1160701000</v>
      </c>
      <c r="B35" s="8" t="s">
        <v>412</v>
      </c>
      <c r="C35" s="9">
        <v>0</v>
      </c>
      <c r="D35" s="10">
        <v>13.911860000000001</v>
      </c>
      <c r="E35" s="9" t="e">
        <f>SUM(D35/C35*100)</f>
        <v>#DIV/0!</v>
      </c>
      <c r="F35" s="9">
        <f>SUM(D35-C35)</f>
        <v>13.911860000000001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216</v>
      </c>
      <c r="C38" s="220">
        <v>0</v>
      </c>
      <c r="D38" s="221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24">
        <f>SUM(C4,C25)</f>
        <v>5020.0625799999998</v>
      </c>
      <c r="D39" s="224">
        <f>D4+D25</f>
        <v>5244.1057099999998</v>
      </c>
      <c r="E39" s="5">
        <f t="shared" si="0"/>
        <v>104.46295492196833</v>
      </c>
      <c r="F39" s="5">
        <f t="shared" si="1"/>
        <v>224.04313000000002</v>
      </c>
    </row>
    <row r="40" spans="1:7" s="6" customFormat="1">
      <c r="A40" s="3">
        <v>2000000000</v>
      </c>
      <c r="B40" s="4" t="s">
        <v>17</v>
      </c>
      <c r="C40" s="194">
        <f>C41+C43+C45+C46+C47+C48+C42+C44</f>
        <v>5211.8250000000007</v>
      </c>
      <c r="D40" s="194">
        <f>D41+D43+D45+D46+D47+D48+D42+D44</f>
        <v>4166.2430000000004</v>
      </c>
      <c r="E40" s="5">
        <f t="shared" si="0"/>
        <v>79.938274980453102</v>
      </c>
      <c r="F40" s="5">
        <f t="shared" si="1"/>
        <v>-1045.5820000000003</v>
      </c>
      <c r="G40" s="19"/>
    </row>
    <row r="41" spans="1:7">
      <c r="A41" s="16">
        <v>2021000000</v>
      </c>
      <c r="B41" s="17" t="s">
        <v>18</v>
      </c>
      <c r="C41" s="225">
        <v>1196.5999999999999</v>
      </c>
      <c r="D41" s="226">
        <v>1096.865</v>
      </c>
      <c r="E41" s="9">
        <f t="shared" si="0"/>
        <v>91.665134547885685</v>
      </c>
      <c r="F41" s="9">
        <f t="shared" si="1"/>
        <v>-99.7349999999999</v>
      </c>
    </row>
    <row r="42" spans="1:7" ht="17.25" customHeight="1">
      <c r="A42" s="16">
        <v>2021500200</v>
      </c>
      <c r="B42" s="17" t="s">
        <v>227</v>
      </c>
      <c r="C42" s="225">
        <v>0</v>
      </c>
      <c r="D42" s="226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25">
        <v>2518.0990000000002</v>
      </c>
      <c r="D43" s="221">
        <v>1789.9349999999999</v>
      </c>
      <c r="E43" s="9">
        <f t="shared" si="0"/>
        <v>71.082789040462657</v>
      </c>
      <c r="F43" s="9">
        <f t="shared" si="1"/>
        <v>-728.16400000000021</v>
      </c>
    </row>
    <row r="44" spans="1:7" ht="18" hidden="1" customHeight="1">
      <c r="A44" s="16">
        <v>2022999910</v>
      </c>
      <c r="B44" s="18" t="s">
        <v>328</v>
      </c>
      <c r="C44" s="439">
        <v>0</v>
      </c>
      <c r="D44" s="440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22">
        <v>198.36600000000001</v>
      </c>
      <c r="D45" s="227">
        <v>180.68299999999999</v>
      </c>
      <c r="E45" s="9">
        <f t="shared" si="0"/>
        <v>91.08566992327313</v>
      </c>
      <c r="F45" s="9">
        <f t="shared" si="1"/>
        <v>-17.683000000000021</v>
      </c>
    </row>
    <row r="46" spans="1:7" ht="15.75" customHeight="1">
      <c r="A46" s="16">
        <v>2020400000</v>
      </c>
      <c r="B46" s="17" t="s">
        <v>21</v>
      </c>
      <c r="C46" s="222">
        <v>1200</v>
      </c>
      <c r="D46" s="228">
        <v>1000</v>
      </c>
      <c r="E46" s="9">
        <f t="shared" si="0"/>
        <v>83.333333333333343</v>
      </c>
      <c r="F46" s="9">
        <f t="shared" si="1"/>
        <v>-200</v>
      </c>
    </row>
    <row r="47" spans="1:7" ht="22.5" customHeight="1">
      <c r="A47" s="7">
        <v>2070500010</v>
      </c>
      <c r="B47" s="17"/>
      <c r="C47" s="222">
        <v>98.76</v>
      </c>
      <c r="D47" s="228">
        <v>98.76</v>
      </c>
      <c r="E47" s="9">
        <f t="shared" si="0"/>
        <v>100</v>
      </c>
      <c r="F47" s="9">
        <f t="shared" si="1"/>
        <v>0</v>
      </c>
    </row>
    <row r="48" spans="1:7" ht="19.5" hidden="1" customHeight="1">
      <c r="A48" s="7">
        <v>2190500005</v>
      </c>
      <c r="B48" s="11" t="s">
        <v>23</v>
      </c>
      <c r="C48" s="223"/>
      <c r="D48" s="223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9">
        <v>0</v>
      </c>
      <c r="D49" s="223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457">
        <f>C39+C40</f>
        <v>10231.887580000001</v>
      </c>
      <c r="D50" s="469">
        <f>D39+D40</f>
        <v>9410.3487100000002</v>
      </c>
      <c r="E50" s="194">
        <f t="shared" si="0"/>
        <v>91.970798510278399</v>
      </c>
      <c r="F50" s="93">
        <f t="shared" si="1"/>
        <v>-821.53887000000032</v>
      </c>
      <c r="G50" s="151"/>
      <c r="H50" s="200"/>
    </row>
    <row r="51" spans="1:8" s="6" customFormat="1">
      <c r="A51" s="3"/>
      <c r="B51" s="21" t="s">
        <v>306</v>
      </c>
      <c r="C51" s="93">
        <f>C50-C97</f>
        <v>-393.77011999999922</v>
      </c>
      <c r="D51" s="93">
        <f>D50-D97</f>
        <v>1260.6958900000009</v>
      </c>
      <c r="E51" s="32"/>
      <c r="F51" s="32"/>
    </row>
    <row r="52" spans="1:8">
      <c r="A52" s="23"/>
      <c r="B52" s="24"/>
      <c r="C52" s="217"/>
      <c r="D52" s="217"/>
      <c r="E52" s="26"/>
      <c r="F52" s="27"/>
    </row>
    <row r="53" spans="1:8" ht="45.75" customHeight="1">
      <c r="A53" s="28" t="s">
        <v>0</v>
      </c>
      <c r="B53" s="28" t="s">
        <v>26</v>
      </c>
      <c r="C53" s="179" t="s">
        <v>398</v>
      </c>
      <c r="D53" s="180" t="s">
        <v>416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1694.434</v>
      </c>
      <c r="D55" s="32">
        <f>D56+D57+D58+D59+D60+D62+D61</f>
        <v>1452.9612999999999</v>
      </c>
      <c r="E55" s="34">
        <f>SUM(D55/C55*100)</f>
        <v>85.749064289314305</v>
      </c>
      <c r="F55" s="34">
        <f>SUM(D55-C55)</f>
        <v>-241.47270000000003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1637</v>
      </c>
      <c r="D57" s="37">
        <v>1407.9612999999999</v>
      </c>
      <c r="E57" s="38">
        <f t="shared" ref="E57:E69" si="3">SUM(D57/C57*100)</f>
        <v>86.008631643249842</v>
      </c>
      <c r="F57" s="38">
        <f t="shared" ref="F57:F69" si="4">SUM(D57-C57)</f>
        <v>-229.03870000000006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customHeight="1">
      <c r="A60" s="35" t="s">
        <v>37</v>
      </c>
      <c r="B60" s="39" t="s">
        <v>38</v>
      </c>
      <c r="C60" s="37">
        <v>44</v>
      </c>
      <c r="D60" s="37">
        <v>44</v>
      </c>
      <c r="E60" s="38">
        <f t="shared" si="3"/>
        <v>100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41</v>
      </c>
      <c r="B62" s="39" t="s">
        <v>42</v>
      </c>
      <c r="C62" s="37">
        <v>8.4339999999999993</v>
      </c>
      <c r="D62" s="37">
        <v>1</v>
      </c>
      <c r="E62" s="38">
        <f t="shared" si="3"/>
        <v>11.856770215793219</v>
      </c>
      <c r="F62" s="38">
        <f t="shared" si="4"/>
        <v>-7.4339999999999993</v>
      </c>
    </row>
    <row r="63" spans="1:8" s="6" customFormat="1">
      <c r="A63" s="41" t="s">
        <v>43</v>
      </c>
      <c r="B63" s="42" t="s">
        <v>44</v>
      </c>
      <c r="C63" s="32">
        <f>C64</f>
        <v>198.36600000000001</v>
      </c>
      <c r="D63" s="32">
        <f>D64</f>
        <v>134.45831000000001</v>
      </c>
      <c r="E63" s="34">
        <f t="shared" si="3"/>
        <v>67.782941633142784</v>
      </c>
      <c r="F63" s="34">
        <f t="shared" si="4"/>
        <v>-63.907690000000002</v>
      </c>
    </row>
    <row r="64" spans="1:8">
      <c r="A64" s="43" t="s">
        <v>45</v>
      </c>
      <c r="B64" s="44" t="s">
        <v>46</v>
      </c>
      <c r="C64" s="37">
        <v>198.36600000000001</v>
      </c>
      <c r="D64" s="37">
        <v>134.45831000000001</v>
      </c>
      <c r="E64" s="38">
        <f t="shared" si="3"/>
        <v>67.782941633142784</v>
      </c>
      <c r="F64" s="38">
        <f t="shared" si="4"/>
        <v>-63.907690000000002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7.2696000000000005</v>
      </c>
      <c r="D65" s="32">
        <f>SUM(D68+D69+D70)</f>
        <v>6.6696</v>
      </c>
      <c r="E65" s="34">
        <f t="shared" si="3"/>
        <v>91.746450973918783</v>
      </c>
      <c r="F65" s="34">
        <f t="shared" si="4"/>
        <v>-0.60000000000000053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2.8696000000000002</v>
      </c>
      <c r="D68" s="37">
        <v>2.8696000000000002</v>
      </c>
      <c r="E68" s="34">
        <f t="shared" si="3"/>
        <v>100</v>
      </c>
      <c r="F68" s="34">
        <f t="shared" si="4"/>
        <v>0</v>
      </c>
    </row>
    <row r="69" spans="1:7" s="6" customFormat="1" ht="15.75" customHeight="1">
      <c r="A69" s="46" t="s">
        <v>214</v>
      </c>
      <c r="B69" s="47" t="s">
        <v>215</v>
      </c>
      <c r="C69" s="37">
        <v>2.4</v>
      </c>
      <c r="D69" s="37">
        <v>1.8</v>
      </c>
      <c r="E69" s="38">
        <f t="shared" si="3"/>
        <v>75</v>
      </c>
      <c r="F69" s="38">
        <f t="shared" si="4"/>
        <v>-0.59999999999999987</v>
      </c>
    </row>
    <row r="70" spans="1:7" s="6" customFormat="1" ht="15.75" customHeight="1">
      <c r="A70" s="46" t="s">
        <v>336</v>
      </c>
      <c r="B70" s="47" t="s">
        <v>390</v>
      </c>
      <c r="C70" s="37">
        <v>2</v>
      </c>
      <c r="D70" s="37">
        <v>2</v>
      </c>
      <c r="E70" s="38">
        <f>SUM(D70/C70*100)</f>
        <v>100</v>
      </c>
      <c r="F70" s="38">
        <f>SUM(D70-C70)</f>
        <v>0</v>
      </c>
    </row>
    <row r="71" spans="1:7">
      <c r="A71" s="30" t="s">
        <v>55</v>
      </c>
      <c r="B71" s="31" t="s">
        <v>56</v>
      </c>
      <c r="C71" s="48">
        <f>SUM(C72:C75)</f>
        <v>3142.2662999999998</v>
      </c>
      <c r="D71" s="48">
        <f>SUM(D72:D75)</f>
        <v>1796.0432800000001</v>
      </c>
      <c r="E71" s="34">
        <f t="shared" ref="E71:E86" si="5">SUM(D71/C71*100)</f>
        <v>57.157577001032664</v>
      </c>
      <c r="F71" s="34">
        <f t="shared" ref="F71:F86" si="6">SUM(D71-C71)</f>
        <v>-1346.2230199999997</v>
      </c>
    </row>
    <row r="72" spans="1:7" s="6" customFormat="1" ht="15.75" customHeight="1">
      <c r="A72" s="35" t="s">
        <v>57</v>
      </c>
      <c r="B72" s="39" t="s">
        <v>58</v>
      </c>
      <c r="C72" s="49"/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idden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3092.2662999999998</v>
      </c>
      <c r="D74" s="37">
        <v>1759.5432800000001</v>
      </c>
      <c r="E74" s="38">
        <f t="shared" si="5"/>
        <v>56.901414991328537</v>
      </c>
      <c r="F74" s="38">
        <f t="shared" si="6"/>
        <v>-1332.7230199999997</v>
      </c>
    </row>
    <row r="75" spans="1:7" s="6" customFormat="1">
      <c r="A75" s="35" t="s">
        <v>63</v>
      </c>
      <c r="B75" s="39" t="s">
        <v>64</v>
      </c>
      <c r="C75" s="49">
        <v>50</v>
      </c>
      <c r="D75" s="37">
        <v>36.5</v>
      </c>
      <c r="E75" s="38">
        <f t="shared" si="5"/>
        <v>73</v>
      </c>
      <c r="F75" s="38">
        <f t="shared" si="6"/>
        <v>-13.5</v>
      </c>
    </row>
    <row r="76" spans="1:7" ht="17.25" customHeight="1">
      <c r="A76" s="30" t="s">
        <v>65</v>
      </c>
      <c r="B76" s="31" t="s">
        <v>66</v>
      </c>
      <c r="C76" s="32">
        <f>SUM(C77:C79)</f>
        <v>3606.1217999999999</v>
      </c>
      <c r="D76" s="32">
        <f>SUM(D77:D79)</f>
        <v>3059.5203299999998</v>
      </c>
      <c r="E76" s="34">
        <f t="shared" si="5"/>
        <v>84.84240132987189</v>
      </c>
      <c r="F76" s="34">
        <f t="shared" si="6"/>
        <v>-546.60147000000006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customHeight="1">
      <c r="A78" s="35" t="s">
        <v>69</v>
      </c>
      <c r="B78" s="51" t="s">
        <v>70</v>
      </c>
      <c r="C78" s="37">
        <v>279.07499999999999</v>
      </c>
      <c r="D78" s="37">
        <v>251.18585999999999</v>
      </c>
      <c r="E78" s="38">
        <f t="shared" si="5"/>
        <v>90.00657887664606</v>
      </c>
      <c r="F78" s="38">
        <f t="shared" si="6"/>
        <v>-27.889139999999998</v>
      </c>
    </row>
    <row r="79" spans="1:7" s="6" customFormat="1">
      <c r="A79" s="35" t="s">
        <v>71</v>
      </c>
      <c r="B79" s="39" t="s">
        <v>72</v>
      </c>
      <c r="C79" s="37">
        <v>3327.0468000000001</v>
      </c>
      <c r="D79" s="37">
        <v>2808.3344699999998</v>
      </c>
      <c r="E79" s="38">
        <f t="shared" si="5"/>
        <v>84.409226524856805</v>
      </c>
      <c r="F79" s="38">
        <f t="shared" si="6"/>
        <v>-518.71233000000029</v>
      </c>
    </row>
    <row r="80" spans="1:7">
      <c r="A80" s="30" t="s">
        <v>83</v>
      </c>
      <c r="B80" s="31" t="s">
        <v>84</v>
      </c>
      <c r="C80" s="32">
        <f>C81</f>
        <v>1975.2</v>
      </c>
      <c r="D80" s="32">
        <f>D81</f>
        <v>1700</v>
      </c>
      <c r="E80" s="34">
        <f t="shared" si="5"/>
        <v>86.067233697853382</v>
      </c>
      <c r="F80" s="34">
        <f t="shared" si="6"/>
        <v>-275.20000000000005</v>
      </c>
    </row>
    <row r="81" spans="1:6" s="6" customFormat="1" ht="15" customHeight="1">
      <c r="A81" s="35" t="s">
        <v>85</v>
      </c>
      <c r="B81" s="39" t="s">
        <v>229</v>
      </c>
      <c r="C81" s="37">
        <v>1975.2</v>
      </c>
      <c r="D81" s="37">
        <v>1700</v>
      </c>
      <c r="E81" s="38">
        <f t="shared" si="5"/>
        <v>86.067233697853382</v>
      </c>
      <c r="F81" s="38">
        <f t="shared" si="6"/>
        <v>-275.20000000000005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2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-2</v>
      </c>
    </row>
    <row r="88" spans="1:6" ht="15.75" customHeight="1">
      <c r="A88" s="35" t="s">
        <v>94</v>
      </c>
      <c r="B88" s="39" t="s">
        <v>95</v>
      </c>
      <c r="C88" s="37">
        <v>2</v>
      </c>
      <c r="D88" s="37">
        <v>0</v>
      </c>
      <c r="E88" s="38">
        <f t="shared" si="7"/>
        <v>0</v>
      </c>
      <c r="F88" s="38">
        <f>SUM(D88-C88)</f>
        <v>-2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457">
        <f>C55+C63+C65+C71+C76+C80+C82+C87+C93</f>
        <v>10625.6577</v>
      </c>
      <c r="D97" s="457">
        <f>D55+D63+D65+D71+D76+D80+D82+D87+D93</f>
        <v>8149.6528199999993</v>
      </c>
      <c r="E97" s="34">
        <f t="shared" si="7"/>
        <v>76.697867088265042</v>
      </c>
      <c r="F97" s="34">
        <f>SUM(D97-C97)</f>
        <v>-2476.0048800000004</v>
      </c>
    </row>
    <row r="98" spans="1:6" s="65" customFormat="1" ht="22.5" customHeight="1">
      <c r="A98" s="63" t="s">
        <v>117</v>
      </c>
      <c r="B98" s="63"/>
      <c r="C98" s="185"/>
      <c r="D98" s="185"/>
    </row>
    <row r="99" spans="1:6" ht="16.5" customHeight="1">
      <c r="A99" s="66" t="s">
        <v>118</v>
      </c>
      <c r="B99" s="66"/>
      <c r="C99" s="185" t="s">
        <v>119</v>
      </c>
      <c r="D99" s="185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  <row r="142" hidden="1"/>
  </sheetData>
  <customSheetViews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1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6"/>
    </customSheetView>
    <customSheetView guid="{B30CE22D-C12F-4E12-8BB9-3AAE0A6991CC}" scale="70" showPageBreaks="1" hiddenRows="1" view="pageBreakPreview" topLeftCell="A36">
      <selection activeCell="C97" activeCellId="1" sqref="C51:D51 C97:D9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34">
      <selection activeCell="C88" sqref="C88"/>
      <pageMargins left="0.7" right="0.7" top="0.75" bottom="0.75" header="0.3" footer="0.3"/>
      <pageSetup paperSize="9" scale="42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3"/>
  <sheetViews>
    <sheetView view="pageBreakPreview" topLeftCell="A16" zoomScale="7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6" t="s">
        <v>423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4882.71</v>
      </c>
      <c r="D4" s="5">
        <f>D5+D12+D14+D7+D20+D17</f>
        <v>4365.1562199999998</v>
      </c>
      <c r="E4" s="5">
        <f>SUM(D4/C4*100)</f>
        <v>89.400276076195382</v>
      </c>
      <c r="F4" s="5">
        <f>SUM(D4-C4)</f>
        <v>-517.55378000000019</v>
      </c>
    </row>
    <row r="5" spans="1:6" s="6" customFormat="1">
      <c r="A5" s="68">
        <v>1010000000</v>
      </c>
      <c r="B5" s="67" t="s">
        <v>5</v>
      </c>
      <c r="C5" s="5">
        <f>C6</f>
        <v>1917</v>
      </c>
      <c r="D5" s="5">
        <f>D6</f>
        <v>1718.5814</v>
      </c>
      <c r="E5" s="5">
        <f t="shared" ref="E5:E52" si="0">SUM(D5/C5*100)</f>
        <v>89.64952529994784</v>
      </c>
      <c r="F5" s="5">
        <f t="shared" ref="F5:F52" si="1">SUM(D5-C5)</f>
        <v>-198.41859999999997</v>
      </c>
    </row>
    <row r="6" spans="1:6">
      <c r="A6" s="7">
        <v>1010200001</v>
      </c>
      <c r="B6" s="8" t="s">
        <v>224</v>
      </c>
      <c r="C6" s="91">
        <v>1917</v>
      </c>
      <c r="D6" s="10">
        <v>1718.5814</v>
      </c>
      <c r="E6" s="9">
        <f t="shared" ref="E6:E11" si="2">SUM(D6/C6*100)</f>
        <v>89.64952529994784</v>
      </c>
      <c r="F6" s="9">
        <f t="shared" si="1"/>
        <v>-198.41859999999997</v>
      </c>
    </row>
    <row r="7" spans="1:6">
      <c r="A7" s="3">
        <v>1030200001</v>
      </c>
      <c r="B7" s="13" t="s">
        <v>264</v>
      </c>
      <c r="C7" s="5">
        <f>C8+C10+C9</f>
        <v>411.71</v>
      </c>
      <c r="D7" s="5">
        <f>D8+D9+D10+D11</f>
        <v>359.08052999999995</v>
      </c>
      <c r="E7" s="9">
        <f t="shared" si="2"/>
        <v>87.21685895411818</v>
      </c>
      <c r="F7" s="9">
        <f t="shared" si="1"/>
        <v>-52.629470000000026</v>
      </c>
    </row>
    <row r="8" spans="1:6">
      <c r="A8" s="7">
        <v>1030223001</v>
      </c>
      <c r="B8" s="8" t="s">
        <v>268</v>
      </c>
      <c r="C8" s="9">
        <v>153.57</v>
      </c>
      <c r="D8" s="10">
        <v>165.42293000000001</v>
      </c>
      <c r="E8" s="9">
        <f t="shared" si="2"/>
        <v>107.71825877450023</v>
      </c>
      <c r="F8" s="9">
        <f t="shared" si="1"/>
        <v>11.852930000000015</v>
      </c>
    </row>
    <row r="9" spans="1:6">
      <c r="A9" s="7">
        <v>1030224001</v>
      </c>
      <c r="B9" s="8" t="s">
        <v>274</v>
      </c>
      <c r="C9" s="9">
        <v>1.64</v>
      </c>
      <c r="D9" s="10">
        <v>1.1867799999999999</v>
      </c>
      <c r="E9" s="9">
        <f t="shared" si="2"/>
        <v>72.364634146341473</v>
      </c>
      <c r="F9" s="9">
        <f t="shared" si="1"/>
        <v>-0.45321999999999996</v>
      </c>
    </row>
    <row r="10" spans="1:6">
      <c r="A10" s="7">
        <v>1030225001</v>
      </c>
      <c r="B10" s="8" t="s">
        <v>267</v>
      </c>
      <c r="C10" s="9">
        <v>256.5</v>
      </c>
      <c r="D10" s="10">
        <v>222.26683</v>
      </c>
      <c r="E10" s="9">
        <f t="shared" si="2"/>
        <v>86.653734892787526</v>
      </c>
      <c r="F10" s="9">
        <f t="shared" si="1"/>
        <v>-34.233170000000001</v>
      </c>
    </row>
    <row r="11" spans="1:6">
      <c r="A11" s="7">
        <v>1030226001</v>
      </c>
      <c r="B11" s="8" t="s">
        <v>276</v>
      </c>
      <c r="C11" s="9">
        <v>0</v>
      </c>
      <c r="D11" s="10">
        <v>-29.796009999999999</v>
      </c>
      <c r="E11" s="9" t="e">
        <f t="shared" si="2"/>
        <v>#DIV/0!</v>
      </c>
      <c r="F11" s="9">
        <f t="shared" si="1"/>
        <v>-29.796009999999999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68.146810000000002</v>
      </c>
      <c r="E12" s="5">
        <f t="shared" si="0"/>
        <v>90.862413333333336</v>
      </c>
      <c r="F12" s="5">
        <f t="shared" si="1"/>
        <v>-6.8531899999999979</v>
      </c>
    </row>
    <row r="13" spans="1:6" ht="15.75" customHeight="1">
      <c r="A13" s="7">
        <v>1050300000</v>
      </c>
      <c r="B13" s="11" t="s">
        <v>225</v>
      </c>
      <c r="C13" s="12">
        <v>75</v>
      </c>
      <c r="D13" s="10">
        <v>68.146810000000002</v>
      </c>
      <c r="E13" s="9">
        <f t="shared" si="0"/>
        <v>90.862413333333336</v>
      </c>
      <c r="F13" s="9">
        <f t="shared" si="1"/>
        <v>-6.8531899999999979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2479</v>
      </c>
      <c r="D14" s="5">
        <f>D15+D16</f>
        <v>2219.3474799999999</v>
      </c>
      <c r="E14" s="5">
        <f t="shared" si="0"/>
        <v>89.525916901976601</v>
      </c>
      <c r="F14" s="5">
        <f t="shared" si="1"/>
        <v>-259.6525200000001</v>
      </c>
    </row>
    <row r="15" spans="1:6" s="6" customFormat="1" ht="15" customHeight="1">
      <c r="A15" s="7">
        <v>1060100000</v>
      </c>
      <c r="B15" s="11" t="s">
        <v>242</v>
      </c>
      <c r="C15" s="9">
        <v>980</v>
      </c>
      <c r="D15" s="10">
        <v>791.93519000000003</v>
      </c>
      <c r="E15" s="9">
        <f t="shared" si="0"/>
        <v>80.809713265306129</v>
      </c>
      <c r="F15" s="9">
        <f>SUM(D15-C15)</f>
        <v>-188.06480999999997</v>
      </c>
    </row>
    <row r="16" spans="1:6" ht="17.25" customHeight="1">
      <c r="A16" s="7">
        <v>1060600000</v>
      </c>
      <c r="B16" s="11" t="s">
        <v>7</v>
      </c>
      <c r="C16" s="9">
        <v>1499</v>
      </c>
      <c r="D16" s="10">
        <v>1427.41229</v>
      </c>
      <c r="E16" s="9">
        <f t="shared" si="0"/>
        <v>95.224302201467651</v>
      </c>
      <c r="F16" s="9">
        <f t="shared" si="1"/>
        <v>-71.587710000000015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223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C26+C29+C31+C34+C37</f>
        <v>0</v>
      </c>
      <c r="D25" s="5">
        <f>D26+D29+D31+D34+D37</f>
        <v>56.686199999999999</v>
      </c>
      <c r="E25" s="5" t="e">
        <f t="shared" si="0"/>
        <v>#DIV/0!</v>
      </c>
      <c r="F25" s="5">
        <f t="shared" si="1"/>
        <v>56.686199999999999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1.75" customHeight="1">
      <c r="A31" s="70">
        <v>1140000000</v>
      </c>
      <c r="B31" s="71" t="s">
        <v>129</v>
      </c>
      <c r="C31" s="5">
        <f>C32+C33</f>
        <v>0</v>
      </c>
      <c r="D31" s="5">
        <f>D32+D33</f>
        <v>14.04</v>
      </c>
      <c r="E31" s="5" t="e">
        <f t="shared" si="0"/>
        <v>#DIV/0!</v>
      </c>
      <c r="F31" s="5">
        <f t="shared" si="1"/>
        <v>14.04</v>
      </c>
    </row>
    <row r="32" spans="1:6" ht="15" customHeight="1">
      <c r="A32" s="16">
        <v>1140200000</v>
      </c>
      <c r="B32" s="18" t="s">
        <v>130</v>
      </c>
      <c r="C32" s="9">
        <v>0</v>
      </c>
      <c r="D32" s="10">
        <v>14.04</v>
      </c>
      <c r="E32" s="9" t="e">
        <f t="shared" si="0"/>
        <v>#DIV/0!</v>
      </c>
      <c r="F32" s="9">
        <f t="shared" si="1"/>
        <v>14.04</v>
      </c>
    </row>
    <row r="33" spans="1:7" ht="17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4.25" customHeight="1">
      <c r="A34" s="3">
        <v>1160000000</v>
      </c>
      <c r="B34" s="13" t="s">
        <v>240</v>
      </c>
      <c r="C34" s="5">
        <f>C35</f>
        <v>0</v>
      </c>
      <c r="D34" s="14">
        <f>SUM(D36+D35)</f>
        <v>42.6462</v>
      </c>
      <c r="E34" s="5" t="e">
        <f t="shared" si="0"/>
        <v>#DIV/0!</v>
      </c>
      <c r="F34" s="5">
        <f t="shared" si="1"/>
        <v>42.6462</v>
      </c>
    </row>
    <row r="35" spans="1:7" ht="17.25" customHeight="1">
      <c r="A35" s="7">
        <v>11607010000</v>
      </c>
      <c r="B35" s="8" t="s">
        <v>412</v>
      </c>
      <c r="C35" s="9">
        <v>0</v>
      </c>
      <c r="D35" s="10">
        <v>41.643839999999997</v>
      </c>
      <c r="E35" s="9" t="e">
        <f t="shared" si="0"/>
        <v>#DIV/0!</v>
      </c>
      <c r="F35" s="9">
        <f t="shared" si="1"/>
        <v>41.643839999999997</v>
      </c>
    </row>
    <row r="36" spans="1:7">
      <c r="A36" s="7">
        <v>11607090000</v>
      </c>
      <c r="B36" s="8"/>
      <c r="C36" s="9"/>
      <c r="D36" s="10">
        <v>1.0023599999999999</v>
      </c>
      <c r="E36" s="9"/>
      <c r="F36" s="9"/>
    </row>
    <row r="37" spans="1:7" ht="20.25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>
        <v>0</v>
      </c>
      <c r="F37" s="5">
        <f t="shared" si="1"/>
        <v>0</v>
      </c>
    </row>
    <row r="38" spans="1:7" ht="15" customHeight="1">
      <c r="A38" s="7">
        <v>1170105005</v>
      </c>
      <c r="B38" s="8" t="s">
        <v>15</v>
      </c>
      <c r="C38" s="9">
        <v>0</v>
      </c>
      <c r="D38" s="9">
        <v>0</v>
      </c>
      <c r="E38" s="9">
        <v>0</v>
      </c>
      <c r="F38" s="9">
        <f t="shared" si="1"/>
        <v>0</v>
      </c>
    </row>
    <row r="39" spans="1:7" ht="15" customHeight="1">
      <c r="A39" s="7">
        <v>1170505005</v>
      </c>
      <c r="B39" s="11" t="s">
        <v>216</v>
      </c>
      <c r="C39" s="9">
        <v>0</v>
      </c>
      <c r="D39" s="10">
        <v>0</v>
      </c>
      <c r="E39" s="9">
        <v>0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7">
        <f>SUM(C4,C25)</f>
        <v>4882.71</v>
      </c>
      <c r="D40" s="127">
        <f>D4+D25</f>
        <v>4421.8424199999999</v>
      </c>
      <c r="E40" s="5">
        <f t="shared" si="0"/>
        <v>90.561233823020416</v>
      </c>
      <c r="F40" s="5">
        <f t="shared" si="1"/>
        <v>-460.86758000000009</v>
      </c>
    </row>
    <row r="41" spans="1:7" s="6" customFormat="1">
      <c r="A41" s="3">
        <v>2000000000</v>
      </c>
      <c r="B41" s="4" t="s">
        <v>17</v>
      </c>
      <c r="C41" s="470">
        <f>C42+C44+C46+C47+C48+C50+C43+C45+C49</f>
        <v>21511.868399999999</v>
      </c>
      <c r="D41" s="93">
        <f>D42+D44+D46+D47+D48+D50+D43+D49</f>
        <v>9862.2572199999995</v>
      </c>
      <c r="E41" s="5">
        <f t="shared" si="0"/>
        <v>45.84565615881138</v>
      </c>
      <c r="F41" s="5">
        <f t="shared" si="1"/>
        <v>-11649.61118</v>
      </c>
      <c r="G41" s="19"/>
    </row>
    <row r="42" spans="1:7" ht="17.25" customHeight="1">
      <c r="A42" s="16">
        <v>2021000000</v>
      </c>
      <c r="B42" s="17" t="s">
        <v>18</v>
      </c>
      <c r="C42" s="12">
        <v>5155.8</v>
      </c>
      <c r="D42" s="20">
        <v>4726.0730000000003</v>
      </c>
      <c r="E42" s="9">
        <f t="shared" si="0"/>
        <v>91.665173202994694</v>
      </c>
      <c r="F42" s="9">
        <f t="shared" si="1"/>
        <v>-429.72699999999986</v>
      </c>
    </row>
    <row r="43" spans="1:7" ht="15" customHeight="1">
      <c r="A43" s="16">
        <v>2021500210</v>
      </c>
      <c r="B43" s="17" t="s">
        <v>227</v>
      </c>
      <c r="C43" s="12">
        <v>0</v>
      </c>
      <c r="D43" s="20">
        <v>0</v>
      </c>
      <c r="E43" s="9" t="e">
        <f>SUM(D43/C43*100)</f>
        <v>#DIV/0!</v>
      </c>
      <c r="F43" s="9">
        <f>SUM(D43-C43)</f>
        <v>0</v>
      </c>
    </row>
    <row r="44" spans="1:7" ht="17.25" customHeight="1">
      <c r="A44" s="16">
        <v>2022000000</v>
      </c>
      <c r="B44" s="17" t="s">
        <v>19</v>
      </c>
      <c r="C44" s="193">
        <v>14954.026459999999</v>
      </c>
      <c r="D44" s="10">
        <v>4162.2427399999997</v>
      </c>
      <c r="E44" s="9">
        <f t="shared" si="0"/>
        <v>27.833592184241731</v>
      </c>
      <c r="F44" s="9">
        <f t="shared" si="1"/>
        <v>-10791.783719999999</v>
      </c>
    </row>
    <row r="45" spans="1:7" ht="15.75" hidden="1" customHeight="1">
      <c r="A45" s="16">
        <v>2022999910</v>
      </c>
      <c r="B45" s="18" t="s">
        <v>328</v>
      </c>
      <c r="C45" s="193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6.5" customHeight="1">
      <c r="A46" s="16">
        <v>2023000000</v>
      </c>
      <c r="B46" s="17" t="s">
        <v>20</v>
      </c>
      <c r="C46" s="12">
        <v>69</v>
      </c>
      <c r="D46" s="187">
        <v>0</v>
      </c>
      <c r="E46" s="9">
        <f t="shared" si="0"/>
        <v>0</v>
      </c>
      <c r="F46" s="9">
        <f t="shared" si="1"/>
        <v>-69</v>
      </c>
    </row>
    <row r="47" spans="1:7" ht="15.75" customHeight="1">
      <c r="A47" s="16">
        <v>2020400000</v>
      </c>
      <c r="B47" s="17" t="s">
        <v>21</v>
      </c>
      <c r="C47" s="12">
        <v>800.00028999999995</v>
      </c>
      <c r="D47" s="188">
        <v>500</v>
      </c>
      <c r="E47" s="9">
        <f t="shared" si="0"/>
        <v>62.499977343758218</v>
      </c>
      <c r="F47" s="9">
        <f t="shared" si="1"/>
        <v>-300.00028999999995</v>
      </c>
    </row>
    <row r="48" spans="1:7" ht="19.5" hidden="1" customHeight="1">
      <c r="A48" s="16">
        <v>2020900000</v>
      </c>
      <c r="B48" s="18" t="s">
        <v>22</v>
      </c>
      <c r="C48" s="12"/>
      <c r="D48" s="188"/>
      <c r="E48" s="9" t="e">
        <f>SUM(D48/C48*100)</f>
        <v>#DIV/0!</v>
      </c>
      <c r="F48" s="9">
        <f>SUM(D48-C48)</f>
        <v>0</v>
      </c>
    </row>
    <row r="49" spans="1:7" ht="18" customHeight="1">
      <c r="A49" s="7">
        <v>2070500010</v>
      </c>
      <c r="B49" s="18" t="s">
        <v>283</v>
      </c>
      <c r="C49" s="12">
        <v>533.04165</v>
      </c>
      <c r="D49" s="188">
        <v>473.94148000000001</v>
      </c>
      <c r="E49" s="9">
        <f>SUM(D49/C49*100)</f>
        <v>88.912654386388013</v>
      </c>
      <c r="F49" s="9">
        <f>SUM(D49-C49)</f>
        <v>-59.100169999999991</v>
      </c>
    </row>
    <row r="50" spans="1:7" hidden="1">
      <c r="A50" s="7">
        <v>2190500005</v>
      </c>
      <c r="B50" s="11" t="s">
        <v>23</v>
      </c>
      <c r="C50" s="14">
        <v>0</v>
      </c>
      <c r="D50" s="14"/>
      <c r="E50" s="9" t="e">
        <f>SUM(D50/C50*100)</f>
        <v>#DIV/0!</v>
      </c>
      <c r="F50" s="9">
        <f>SUM(D50-C50)</f>
        <v>0</v>
      </c>
    </row>
    <row r="51" spans="1:7" s="6" customFormat="1" ht="31.5">
      <c r="A51" s="3">
        <v>3000000000</v>
      </c>
      <c r="B51" s="13" t="s">
        <v>24</v>
      </c>
      <c r="C51" s="191">
        <v>0</v>
      </c>
      <c r="D51" s="14">
        <v>0</v>
      </c>
      <c r="E51" s="9" t="e">
        <f>SUM(D51/C51*100)</f>
        <v>#DIV/0!</v>
      </c>
      <c r="F51" s="9">
        <f>SUM(D51-C51)</f>
        <v>0</v>
      </c>
    </row>
    <row r="52" spans="1:7" s="6" customFormat="1" ht="15" customHeight="1">
      <c r="A52" s="3"/>
      <c r="B52" s="4" t="s">
        <v>25</v>
      </c>
      <c r="C52" s="470">
        <f>SUM(C40,C41,C51)</f>
        <v>26394.578399999999</v>
      </c>
      <c r="D52" s="469">
        <f>D40+D41</f>
        <v>14284.09964</v>
      </c>
      <c r="E52" s="93">
        <f t="shared" si="0"/>
        <v>54.117551807533324</v>
      </c>
      <c r="F52" s="93">
        <f t="shared" si="1"/>
        <v>-12110.478759999998</v>
      </c>
      <c r="G52" s="151"/>
    </row>
    <row r="53" spans="1:7" s="6" customFormat="1" ht="23.25" customHeight="1">
      <c r="A53" s="3"/>
      <c r="B53" s="21" t="s">
        <v>306</v>
      </c>
      <c r="C53" s="93">
        <f>C52-C99</f>
        <v>-112.35854000000472</v>
      </c>
      <c r="D53" s="93">
        <f>D52-D99</f>
        <v>911.56549000000086</v>
      </c>
      <c r="E53" s="195"/>
      <c r="F53" s="195"/>
    </row>
    <row r="54" spans="1:7">
      <c r="A54" s="23"/>
      <c r="B54" s="24"/>
      <c r="C54" s="25"/>
      <c r="D54" s="25"/>
      <c r="E54" s="26"/>
      <c r="F54" s="27"/>
    </row>
    <row r="55" spans="1:7" ht="32.25" customHeight="1">
      <c r="A55" s="28" t="s">
        <v>0</v>
      </c>
      <c r="B55" s="28" t="s">
        <v>26</v>
      </c>
      <c r="C55" s="184" t="s">
        <v>398</v>
      </c>
      <c r="D55" s="73" t="s">
        <v>416</v>
      </c>
      <c r="E55" s="72" t="s">
        <v>2</v>
      </c>
      <c r="F55" s="74" t="s">
        <v>3</v>
      </c>
    </row>
    <row r="56" spans="1:7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15" customHeight="1">
      <c r="A57" s="30" t="s">
        <v>27</v>
      </c>
      <c r="B57" s="31" t="s">
        <v>28</v>
      </c>
      <c r="C57" s="32">
        <f>C58+C59+C60+C61+C62+C64+C63+C66</f>
        <v>2131.0650000000001</v>
      </c>
      <c r="D57" s="33">
        <f>D58+D59+D60+D61+D62+D64+D63</f>
        <v>1925.32752</v>
      </c>
      <c r="E57" s="34">
        <f>SUM(D57/C57*100)</f>
        <v>90.345790485039174</v>
      </c>
      <c r="F57" s="34">
        <f>SUM(D57-C57)</f>
        <v>-205.73748000000001</v>
      </c>
    </row>
    <row r="58" spans="1:7" s="6" customFormat="1" ht="0.7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7" ht="16.5" customHeight="1">
      <c r="A59" s="35" t="s">
        <v>31</v>
      </c>
      <c r="B59" s="39" t="s">
        <v>32</v>
      </c>
      <c r="C59" s="97">
        <v>1909.2</v>
      </c>
      <c r="D59" s="37">
        <v>1767.5275200000001</v>
      </c>
      <c r="E59" s="38">
        <f t="shared" ref="E59:E99" si="3">SUM(D59/C59*100)</f>
        <v>92.579484600879951</v>
      </c>
      <c r="F59" s="38">
        <f t="shared" ref="F59:F99" si="4">SUM(D59-C59)</f>
        <v>-141.67247999999995</v>
      </c>
    </row>
    <row r="60" spans="1:7" ht="1.5" hidden="1" customHeight="1">
      <c r="A60" s="35" t="s">
        <v>33</v>
      </c>
      <c r="B60" s="39" t="s">
        <v>34</v>
      </c>
      <c r="C60" s="97"/>
      <c r="D60" s="37"/>
      <c r="E60" s="38"/>
      <c r="F60" s="38">
        <f t="shared" si="4"/>
        <v>0</v>
      </c>
    </row>
    <row r="61" spans="1:7" ht="17.25" hidden="1" customHeight="1">
      <c r="A61" s="35" t="s">
        <v>35</v>
      </c>
      <c r="B61" s="39" t="s">
        <v>36</v>
      </c>
      <c r="C61" s="9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97">
        <v>90</v>
      </c>
      <c r="D62" s="37">
        <v>90</v>
      </c>
      <c r="E62" s="38">
        <f t="shared" si="3"/>
        <v>100</v>
      </c>
      <c r="F62" s="38">
        <f t="shared" si="4"/>
        <v>0</v>
      </c>
    </row>
    <row r="63" spans="1:7" ht="18" customHeight="1">
      <c r="A63" s="35" t="s">
        <v>39</v>
      </c>
      <c r="B63" s="39" t="s">
        <v>40</v>
      </c>
      <c r="C63" s="149">
        <v>55</v>
      </c>
      <c r="D63" s="40">
        <v>0</v>
      </c>
      <c r="E63" s="38">
        <f t="shared" si="3"/>
        <v>0</v>
      </c>
      <c r="F63" s="38">
        <f t="shared" si="4"/>
        <v>-55</v>
      </c>
    </row>
    <row r="64" spans="1:7" ht="15.75" customHeight="1">
      <c r="A64" s="35" t="s">
        <v>41</v>
      </c>
      <c r="B64" s="39" t="s">
        <v>42</v>
      </c>
      <c r="C64" s="97">
        <v>76.864999999999995</v>
      </c>
      <c r="D64" s="37">
        <v>67.8</v>
      </c>
      <c r="E64" s="38">
        <f t="shared" si="3"/>
        <v>88.206595979964874</v>
      </c>
      <c r="F64" s="38">
        <f t="shared" si="4"/>
        <v>-9.0649999999999977</v>
      </c>
    </row>
    <row r="65" spans="1:7" s="6" customFormat="1" ht="15.75" hidden="1" customHeight="1">
      <c r="A65" s="41" t="s">
        <v>43</v>
      </c>
      <c r="B65" s="42" t="s">
        <v>44</v>
      </c>
      <c r="C65" s="150">
        <f>C66</f>
        <v>0</v>
      </c>
      <c r="D65" s="32">
        <f>D66</f>
        <v>0</v>
      </c>
      <c r="E65" s="34" t="e">
        <f t="shared" si="3"/>
        <v>#DIV/0!</v>
      </c>
      <c r="F65" s="34">
        <f t="shared" si="4"/>
        <v>0</v>
      </c>
    </row>
    <row r="66" spans="1:7" ht="18" hidden="1" customHeight="1">
      <c r="A66" s="43" t="s">
        <v>45</v>
      </c>
      <c r="B66" s="44" t="s">
        <v>46</v>
      </c>
      <c r="C66" s="97">
        <v>0</v>
      </c>
      <c r="D66" s="37">
        <v>0</v>
      </c>
      <c r="E66" s="38" t="e">
        <f t="shared" si="3"/>
        <v>#DIV/0!</v>
      </c>
      <c r="F66" s="38">
        <f t="shared" si="4"/>
        <v>0</v>
      </c>
    </row>
    <row r="67" spans="1:7" s="6" customFormat="1" ht="18" customHeight="1">
      <c r="A67" s="30" t="s">
        <v>47</v>
      </c>
      <c r="B67" s="31" t="s">
        <v>48</v>
      </c>
      <c r="C67" s="150">
        <f>C70+C71+C72</f>
        <v>32</v>
      </c>
      <c r="D67" s="150">
        <f>SUM(D70+D71+D72)</f>
        <v>7.5545999999999998</v>
      </c>
      <c r="E67" s="34">
        <f t="shared" si="3"/>
        <v>23.608124999999998</v>
      </c>
      <c r="F67" s="34">
        <f t="shared" si="4"/>
        <v>-24.445399999999999</v>
      </c>
    </row>
    <row r="68" spans="1:7" ht="3.75" hidden="1" customHeight="1">
      <c r="A68" s="35" t="s">
        <v>49</v>
      </c>
      <c r="B68" s="39" t="s">
        <v>50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5.75" hidden="1" customHeight="1">
      <c r="A69" s="45" t="s">
        <v>51</v>
      </c>
      <c r="B69" s="39" t="s">
        <v>52</v>
      </c>
      <c r="C69" s="97"/>
      <c r="D69" s="37"/>
      <c r="E69" s="34" t="e">
        <f t="shared" si="3"/>
        <v>#DIV/0!</v>
      </c>
      <c r="F69" s="34">
        <f t="shared" si="4"/>
        <v>0</v>
      </c>
    </row>
    <row r="70" spans="1:7" ht="19.5" customHeight="1">
      <c r="A70" s="46" t="s">
        <v>53</v>
      </c>
      <c r="B70" s="47" t="s">
        <v>54</v>
      </c>
      <c r="C70" s="97">
        <v>10</v>
      </c>
      <c r="D70" s="37">
        <v>5.5545999999999998</v>
      </c>
      <c r="E70" s="34">
        <f t="shared" si="3"/>
        <v>55.545999999999992</v>
      </c>
      <c r="F70" s="34">
        <f t="shared" si="4"/>
        <v>-4.4454000000000002</v>
      </c>
    </row>
    <row r="71" spans="1:7" ht="17.25" customHeight="1">
      <c r="A71" s="46" t="s">
        <v>214</v>
      </c>
      <c r="B71" s="47" t="s">
        <v>215</v>
      </c>
      <c r="C71" s="97">
        <v>20</v>
      </c>
      <c r="D71" s="37">
        <v>0</v>
      </c>
      <c r="E71" s="34">
        <f t="shared" si="3"/>
        <v>0</v>
      </c>
      <c r="F71" s="34">
        <f t="shared" si="4"/>
        <v>-20</v>
      </c>
    </row>
    <row r="72" spans="1:7" ht="17.25" customHeight="1">
      <c r="A72" s="46" t="s">
        <v>336</v>
      </c>
      <c r="B72" s="47" t="s">
        <v>391</v>
      </c>
      <c r="C72" s="9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6.5" customHeight="1">
      <c r="A73" s="30" t="s">
        <v>55</v>
      </c>
      <c r="B73" s="31" t="s">
        <v>56</v>
      </c>
      <c r="C73" s="48">
        <f>SUM(C74:C77)</f>
        <v>4503.0918199999996</v>
      </c>
      <c r="D73" s="48">
        <f>SUM(D74:D77)</f>
        <v>1640.86106</v>
      </c>
      <c r="E73" s="34">
        <f t="shared" si="3"/>
        <v>36.43854324071944</v>
      </c>
      <c r="F73" s="34">
        <f t="shared" si="4"/>
        <v>-2862.2307599999995</v>
      </c>
    </row>
    <row r="74" spans="1:7" ht="15" customHeight="1">
      <c r="A74" s="35" t="s">
        <v>57</v>
      </c>
      <c r="B74" s="39" t="s">
        <v>58</v>
      </c>
      <c r="C74" s="49">
        <v>85.921999999999997</v>
      </c>
      <c r="D74" s="37">
        <v>0</v>
      </c>
      <c r="E74" s="38">
        <f t="shared" si="3"/>
        <v>0</v>
      </c>
      <c r="F74" s="38">
        <f t="shared" si="4"/>
        <v>-85.921999999999997</v>
      </c>
    </row>
    <row r="75" spans="1:7" s="6" customFormat="1" ht="15.75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 ht="15" customHeight="1">
      <c r="A76" s="35" t="s">
        <v>61</v>
      </c>
      <c r="B76" s="39" t="s">
        <v>62</v>
      </c>
      <c r="C76" s="49">
        <v>4362.1698200000001</v>
      </c>
      <c r="D76" s="37">
        <v>1640.86106</v>
      </c>
      <c r="E76" s="38">
        <f t="shared" si="3"/>
        <v>37.615707955175388</v>
      </c>
      <c r="F76" s="38">
        <f t="shared" si="4"/>
        <v>-2721.3087599999999</v>
      </c>
    </row>
    <row r="77" spans="1:7" ht="18" customHeight="1">
      <c r="A77" s="35" t="s">
        <v>63</v>
      </c>
      <c r="B77" s="39" t="s">
        <v>64</v>
      </c>
      <c r="C77" s="49">
        <v>55</v>
      </c>
      <c r="D77" s="37">
        <v>0</v>
      </c>
      <c r="E77" s="38">
        <f t="shared" si="3"/>
        <v>0</v>
      </c>
      <c r="F77" s="38">
        <f t="shared" si="4"/>
        <v>-55</v>
      </c>
    </row>
    <row r="78" spans="1:7" s="6" customFormat="1" ht="18" customHeight="1">
      <c r="A78" s="30" t="s">
        <v>65</v>
      </c>
      <c r="B78" s="31" t="s">
        <v>66</v>
      </c>
      <c r="C78" s="32">
        <f>C79+C80+C81+C84</f>
        <v>15383.580120000001</v>
      </c>
      <c r="D78" s="32">
        <f>D79+D80+D81+D84</f>
        <v>6491.6259700000001</v>
      </c>
      <c r="E78" s="34">
        <f t="shared" si="3"/>
        <v>42.198408428739668</v>
      </c>
      <c r="F78" s="34">
        <f t="shared" si="4"/>
        <v>-8891.9541500000014</v>
      </c>
    </row>
    <row r="79" spans="1:7" ht="18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630</v>
      </c>
      <c r="D80" s="37">
        <v>614.58492999999999</v>
      </c>
      <c r="E80" s="38">
        <f t="shared" si="3"/>
        <v>97.55316349206349</v>
      </c>
      <c r="F80" s="38">
        <f t="shared" si="4"/>
        <v>-15.415070000000014</v>
      </c>
    </row>
    <row r="81" spans="1:6" ht="17.25" customHeight="1">
      <c r="A81" s="35" t="s">
        <v>71</v>
      </c>
      <c r="B81" s="39" t="s">
        <v>72</v>
      </c>
      <c r="C81" s="37">
        <v>14753.580120000001</v>
      </c>
      <c r="D81" s="37">
        <v>5877.0410400000001</v>
      </c>
      <c r="E81" s="38">
        <f t="shared" si="3"/>
        <v>39.834677361009241</v>
      </c>
      <c r="F81" s="38">
        <f t="shared" si="4"/>
        <v>-8876.5390800000005</v>
      </c>
    </row>
    <row r="82" spans="1:6" s="6" customFormat="1" ht="18.75" customHeight="1">
      <c r="A82" s="30" t="s">
        <v>83</v>
      </c>
      <c r="B82" s="31" t="s">
        <v>84</v>
      </c>
      <c r="C82" s="32">
        <f>C83</f>
        <v>4457.2</v>
      </c>
      <c r="D82" s="32">
        <f>D83</f>
        <v>3307.165</v>
      </c>
      <c r="E82" s="38">
        <f t="shared" si="3"/>
        <v>74.198263483801497</v>
      </c>
      <c r="F82" s="38">
        <f t="shared" si="4"/>
        <v>-1150.0349999999999</v>
      </c>
    </row>
    <row r="83" spans="1:6" ht="19.5" customHeight="1">
      <c r="A83" s="35" t="s">
        <v>85</v>
      </c>
      <c r="B83" s="39" t="s">
        <v>229</v>
      </c>
      <c r="C83" s="37">
        <v>4457.2</v>
      </c>
      <c r="D83" s="37">
        <v>3307.165</v>
      </c>
      <c r="E83" s="38">
        <f t="shared" si="3"/>
        <v>74.198263483801497</v>
      </c>
      <c r="F83" s="38">
        <f t="shared" si="4"/>
        <v>-1150.0349999999999</v>
      </c>
    </row>
    <row r="84" spans="1:6" ht="15" hidden="1" customHeight="1">
      <c r="A84" s="35" t="s">
        <v>251</v>
      </c>
      <c r="B84" s="39" t="s">
        <v>252</v>
      </c>
      <c r="C84" s="37">
        <v>0</v>
      </c>
      <c r="D84" s="37"/>
      <c r="E84" s="38" t="e">
        <f t="shared" si="3"/>
        <v>#DIV/0!</v>
      </c>
      <c r="F84" s="38">
        <f t="shared" si="4"/>
        <v>0</v>
      </c>
    </row>
    <row r="85" spans="1:6" s="6" customFormat="1" ht="12.75" hidden="1" customHeight="1">
      <c r="A85" s="52">
        <v>1000</v>
      </c>
      <c r="B85" s="31" t="s">
        <v>86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2.75" hidden="1" customHeight="1">
      <c r="A86" s="53">
        <v>1001</v>
      </c>
      <c r="B86" s="54" t="s">
        <v>87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88</v>
      </c>
      <c r="C87" s="37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8.75" hidden="1" customHeight="1">
      <c r="A88" s="53">
        <v>1004</v>
      </c>
      <c r="B88" s="54" t="s">
        <v>89</v>
      </c>
      <c r="C88" s="37">
        <v>0</v>
      </c>
      <c r="D88" s="55">
        <v>0</v>
      </c>
      <c r="E88" s="38" t="e">
        <f t="shared" si="3"/>
        <v>#DIV/0!</v>
      </c>
      <c r="F88" s="38">
        <f t="shared" si="4"/>
        <v>0</v>
      </c>
    </row>
    <row r="89" spans="1:6" ht="17.25" hidden="1" customHeight="1">
      <c r="A89" s="35" t="s">
        <v>90</v>
      </c>
      <c r="B89" s="39" t="s">
        <v>91</v>
      </c>
      <c r="C89" s="37">
        <v>0</v>
      </c>
      <c r="D89" s="37">
        <v>0</v>
      </c>
      <c r="E89" s="38"/>
      <c r="F89" s="38">
        <f t="shared" si="4"/>
        <v>0</v>
      </c>
    </row>
    <row r="90" spans="1:6" ht="19.5" customHeight="1">
      <c r="A90" s="30" t="s">
        <v>92</v>
      </c>
      <c r="B90" s="31" t="s">
        <v>93</v>
      </c>
      <c r="C90" s="32">
        <f>C91+C92+C93+C94+C95</f>
        <v>0</v>
      </c>
      <c r="D90" s="32">
        <f>D91+D92+D93+D94+D95</f>
        <v>0</v>
      </c>
      <c r="E90" s="38" t="e">
        <f t="shared" si="3"/>
        <v>#DIV/0!</v>
      </c>
      <c r="F90" s="22">
        <f>F91+F92+F93+F94+F95</f>
        <v>0</v>
      </c>
    </row>
    <row r="91" spans="1:6" ht="15.75" customHeight="1">
      <c r="A91" s="35" t="s">
        <v>94</v>
      </c>
      <c r="B91" s="39" t="s">
        <v>95</v>
      </c>
      <c r="C91" s="37"/>
      <c r="D91" s="37">
        <v>0</v>
      </c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37"/>
      <c r="D95" s="37"/>
      <c r="E95" s="38" t="e">
        <f t="shared" si="3"/>
        <v>#DIV/0!</v>
      </c>
      <c r="F95" s="38"/>
    </row>
    <row r="96" spans="1:6" s="6" customFormat="1" ht="18" hidden="1" customHeight="1">
      <c r="A96" s="52">
        <v>1400</v>
      </c>
      <c r="B96" s="56" t="s">
        <v>112</v>
      </c>
      <c r="C96" s="48">
        <f>SUM(C97+C98)</f>
        <v>0</v>
      </c>
      <c r="D96" s="48">
        <f>SUM(D97+D98)</f>
        <v>0</v>
      </c>
      <c r="E96" s="34" t="e">
        <f t="shared" si="3"/>
        <v>#DIV/0!</v>
      </c>
      <c r="F96" s="34">
        <f t="shared" si="4"/>
        <v>0</v>
      </c>
    </row>
    <row r="97" spans="1:7" ht="20.25" hidden="1" customHeight="1">
      <c r="A97" s="53">
        <v>1402</v>
      </c>
      <c r="B97" s="54" t="s">
        <v>114</v>
      </c>
      <c r="C97" s="175"/>
      <c r="D97" s="176"/>
      <c r="E97" s="38" t="e">
        <f t="shared" si="3"/>
        <v>#DIV/0!</v>
      </c>
      <c r="F97" s="38">
        <f t="shared" si="4"/>
        <v>0</v>
      </c>
    </row>
    <row r="98" spans="1:7" ht="15" hidden="1" customHeight="1">
      <c r="A98" s="53">
        <v>1403</v>
      </c>
      <c r="B98" s="54" t="s">
        <v>115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7" s="6" customFormat="1" ht="16.5" customHeight="1">
      <c r="A99" s="52"/>
      <c r="B99" s="57" t="s">
        <v>116</v>
      </c>
      <c r="C99" s="457">
        <f>C57+C73+C78+C85+C90+C96+C67+C82</f>
        <v>26506.936940000003</v>
      </c>
      <c r="D99" s="457">
        <f>SUM(D57+D67+D73+D78+D82+D90)</f>
        <v>13372.534149999999</v>
      </c>
      <c r="E99" s="34">
        <f t="shared" si="3"/>
        <v>50.449186868590324</v>
      </c>
      <c r="F99" s="34">
        <f t="shared" si="4"/>
        <v>-13134.402790000004</v>
      </c>
      <c r="G99" s="200"/>
    </row>
    <row r="100" spans="1:7" ht="20.25" customHeight="1">
      <c r="D100" s="181"/>
    </row>
    <row r="101" spans="1:7" s="65" customFormat="1" ht="13.5" customHeight="1">
      <c r="A101" s="63" t="s">
        <v>117</v>
      </c>
      <c r="B101" s="63"/>
      <c r="C101" s="119"/>
      <c r="D101" s="64"/>
    </row>
    <row r="102" spans="1:7" s="65" customFormat="1" ht="12.75">
      <c r="A102" s="66" t="s">
        <v>118</v>
      </c>
      <c r="B102" s="66"/>
      <c r="C102" s="134" t="s">
        <v>119</v>
      </c>
      <c r="D102" s="134"/>
    </row>
    <row r="103" spans="1:7" ht="5.25" customHeight="1"/>
    <row r="143" hidden="1"/>
  </sheetData>
  <customSheetViews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1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3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5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6"/>
    </customSheetView>
    <customSheetView guid="{B30CE22D-C12F-4E12-8BB9-3AAE0A6991CC}" scale="70" showPageBreaks="1" printArea="1" hiddenRows="1" view="pageBreakPreview" topLeftCell="A48">
      <selection activeCell="C98" activeCellId="1" sqref="C52:D52 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printArea="1" hiddenRows="1" view="pageBreakPreview" topLeftCell="A32">
      <selection activeCell="D90" sqref="D90"/>
      <pageMargins left="0.7" right="0.7" top="0.75" bottom="0.75" header="0.3" footer="0.3"/>
      <pageSetup paperSize="9" scale="41" orientation="portrait" r:id="rId8"/>
    </customSheetView>
    <customSheetView guid="{61528DAC-5C4C-48F4-ADE2-8A724B05A086}" scale="70" showPageBreaks="1" printArea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4"/>
  <sheetViews>
    <sheetView view="pageBreakPreview" topLeftCell="A33" zoomScale="70" zoomScaleSheetLayoutView="86" workbookViewId="0">
      <selection activeCell="C95" sqref="C95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6" t="s">
        <v>424</v>
      </c>
      <c r="B1" s="546"/>
      <c r="C1" s="546"/>
      <c r="D1" s="546"/>
      <c r="E1" s="546"/>
      <c r="F1" s="546"/>
    </row>
    <row r="2" spans="1:6">
      <c r="A2" s="546"/>
      <c r="B2" s="546"/>
      <c r="C2" s="546"/>
      <c r="D2" s="546"/>
      <c r="E2" s="546"/>
      <c r="F2" s="546"/>
    </row>
    <row r="3" spans="1:6" ht="63">
      <c r="A3" s="2" t="s">
        <v>0</v>
      </c>
      <c r="B3" s="2" t="s">
        <v>1</v>
      </c>
      <c r="C3" s="72" t="s">
        <v>398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5018.6900000000005</v>
      </c>
      <c r="D4" s="5">
        <f>D5+D12+D14+D17+D20+D7</f>
        <v>4581.3632200000002</v>
      </c>
      <c r="E4" s="5">
        <f>SUM(D4/C4*100)</f>
        <v>91.286037192972657</v>
      </c>
      <c r="F4" s="5">
        <f>SUM(D4-C4)</f>
        <v>-437.32678000000033</v>
      </c>
    </row>
    <row r="5" spans="1:6" s="6" customFormat="1">
      <c r="A5" s="68">
        <v>1010000000</v>
      </c>
      <c r="B5" s="67" t="s">
        <v>5</v>
      </c>
      <c r="C5" s="5">
        <f>C6</f>
        <v>1607.1</v>
      </c>
      <c r="D5" s="5">
        <f>D6</f>
        <v>1476.2249200000001</v>
      </c>
      <c r="E5" s="5">
        <f t="shared" ref="E5:E53" si="0">SUM(D5/C5*100)</f>
        <v>91.856444527409636</v>
      </c>
      <c r="F5" s="5">
        <f t="shared" ref="F5:F53" si="1">SUM(D5-C5)</f>
        <v>-130.8750799999998</v>
      </c>
    </row>
    <row r="6" spans="1:6">
      <c r="A6" s="7">
        <v>1010200001</v>
      </c>
      <c r="B6" s="8" t="s">
        <v>224</v>
      </c>
      <c r="C6" s="9">
        <v>1607.1</v>
      </c>
      <c r="D6" s="10">
        <v>1476.2249200000001</v>
      </c>
      <c r="E6" s="9">
        <f t="shared" ref="E6:E11" si="2">SUM(D6/C6*100)</f>
        <v>91.856444527409636</v>
      </c>
      <c r="F6" s="9">
        <f t="shared" si="1"/>
        <v>-130.8750799999998</v>
      </c>
    </row>
    <row r="7" spans="1:6" ht="31.5">
      <c r="A7" s="3">
        <v>1030000000</v>
      </c>
      <c r="B7" s="13" t="s">
        <v>266</v>
      </c>
      <c r="C7" s="5">
        <f>C8+C10+C9</f>
        <v>772.59</v>
      </c>
      <c r="D7" s="5">
        <f>D8+D10+D9+D11</f>
        <v>673.83018000000004</v>
      </c>
      <c r="E7" s="9">
        <f t="shared" si="2"/>
        <v>87.217046557682593</v>
      </c>
      <c r="F7" s="9">
        <f t="shared" si="1"/>
        <v>-98.759819999999991</v>
      </c>
    </row>
    <row r="8" spans="1:6">
      <c r="A8" s="7">
        <v>1030223001</v>
      </c>
      <c r="B8" s="8" t="s">
        <v>268</v>
      </c>
      <c r="C8" s="9">
        <v>288.18</v>
      </c>
      <c r="D8" s="10">
        <v>310.42336999999998</v>
      </c>
      <c r="E8" s="9">
        <f t="shared" si="2"/>
        <v>107.71856825595114</v>
      </c>
      <c r="F8" s="9">
        <f t="shared" si="1"/>
        <v>22.24336999999997</v>
      </c>
    </row>
    <row r="9" spans="1:6">
      <c r="A9" s="7">
        <v>1030224001</v>
      </c>
      <c r="B9" s="8" t="s">
        <v>274</v>
      </c>
      <c r="C9" s="9">
        <v>3.09</v>
      </c>
      <c r="D9" s="10">
        <v>2.2270599999999998</v>
      </c>
      <c r="E9" s="9">
        <f t="shared" si="2"/>
        <v>72.073139158576055</v>
      </c>
      <c r="F9" s="9">
        <f t="shared" si="1"/>
        <v>-0.86294000000000004</v>
      </c>
    </row>
    <row r="10" spans="1:6">
      <c r="A10" s="7">
        <v>1030225001</v>
      </c>
      <c r="B10" s="8" t="s">
        <v>267</v>
      </c>
      <c r="C10" s="9">
        <v>481.32</v>
      </c>
      <c r="D10" s="10">
        <v>417.09325000000001</v>
      </c>
      <c r="E10" s="9">
        <f t="shared" si="2"/>
        <v>86.65612274578244</v>
      </c>
      <c r="F10" s="9">
        <f t="shared" si="1"/>
        <v>-64.226749999999981</v>
      </c>
    </row>
    <row r="11" spans="1:6">
      <c r="A11" s="7">
        <v>1030226001</v>
      </c>
      <c r="B11" s="8" t="s">
        <v>277</v>
      </c>
      <c r="C11" s="9">
        <v>0</v>
      </c>
      <c r="D11" s="10">
        <v>-55.913499999999999</v>
      </c>
      <c r="E11" s="9" t="e">
        <f t="shared" si="2"/>
        <v>#DIV/0!</v>
      </c>
      <c r="F11" s="9">
        <f t="shared" si="1"/>
        <v>-55.913499999999999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20.815799999999999</v>
      </c>
      <c r="E12" s="5">
        <f t="shared" si="0"/>
        <v>69.38600000000001</v>
      </c>
      <c r="F12" s="5">
        <f t="shared" si="1"/>
        <v>-9.1842000000000006</v>
      </c>
    </row>
    <row r="13" spans="1:6" ht="15.75" customHeight="1">
      <c r="A13" s="7">
        <v>1050300000</v>
      </c>
      <c r="B13" s="11" t="s">
        <v>225</v>
      </c>
      <c r="C13" s="12">
        <v>30</v>
      </c>
      <c r="D13" s="10">
        <v>20.815799999999999</v>
      </c>
      <c r="E13" s="9">
        <f t="shared" si="0"/>
        <v>69.38600000000001</v>
      </c>
      <c r="F13" s="9">
        <f t="shared" si="1"/>
        <v>-9.1842000000000006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2601</v>
      </c>
      <c r="D14" s="5">
        <f>D15+D16</f>
        <v>2408.8923199999999</v>
      </c>
      <c r="E14" s="5">
        <f t="shared" si="0"/>
        <v>92.61408381391773</v>
      </c>
      <c r="F14" s="5">
        <f t="shared" si="1"/>
        <v>-192.10768000000007</v>
      </c>
    </row>
    <row r="15" spans="1:6" s="6" customFormat="1" ht="15.75" customHeight="1">
      <c r="A15" s="7">
        <v>1060100000</v>
      </c>
      <c r="B15" s="11" t="s">
        <v>8</v>
      </c>
      <c r="C15" s="9">
        <v>450</v>
      </c>
      <c r="D15" s="10">
        <v>550.24485000000004</v>
      </c>
      <c r="E15" s="9">
        <f t="shared" si="0"/>
        <v>122.27663333333334</v>
      </c>
      <c r="F15" s="9">
        <f>SUM(D15-C15)</f>
        <v>100.24485000000004</v>
      </c>
    </row>
    <row r="16" spans="1:6" ht="15.75" customHeight="1">
      <c r="A16" s="7">
        <v>1060600000</v>
      </c>
      <c r="B16" s="11" t="s">
        <v>7</v>
      </c>
      <c r="C16" s="9">
        <v>2151</v>
      </c>
      <c r="D16" s="10">
        <v>1858.6474700000001</v>
      </c>
      <c r="E16" s="9">
        <f t="shared" si="0"/>
        <v>86.408529521152957</v>
      </c>
      <c r="F16" s="9">
        <f t="shared" si="1"/>
        <v>-292.35252999999989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1.6</v>
      </c>
      <c r="E17" s="5">
        <f t="shared" si="0"/>
        <v>20</v>
      </c>
      <c r="F17" s="5">
        <f t="shared" si="1"/>
        <v>-6.4</v>
      </c>
    </row>
    <row r="18" spans="1:6" ht="15" customHeight="1">
      <c r="A18" s="7">
        <v>1080400001</v>
      </c>
      <c r="B18" s="8" t="s">
        <v>223</v>
      </c>
      <c r="C18" s="9">
        <v>8</v>
      </c>
      <c r="D18" s="10">
        <v>1.6</v>
      </c>
      <c r="E18" s="9">
        <f t="shared" si="0"/>
        <v>20</v>
      </c>
      <c r="F18" s="9">
        <f t="shared" si="1"/>
        <v>-6.4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0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C26+C29+C31+C37+C34</f>
        <v>0</v>
      </c>
      <c r="D25" s="5">
        <f>D26+D29+D31+D37+D34</f>
        <v>33.569899999999997</v>
      </c>
      <c r="E25" s="5" t="e">
        <f t="shared" si="0"/>
        <v>#DIV/0!</v>
      </c>
      <c r="F25" s="5">
        <f t="shared" si="1"/>
        <v>33.569899999999997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1.78</v>
      </c>
      <c r="E26" s="5" t="e">
        <f t="shared" si="0"/>
        <v>#DIV/0!</v>
      </c>
      <c r="F26" s="5">
        <f t="shared" si="1"/>
        <v>1.78</v>
      </c>
    </row>
    <row r="27" spans="1:6">
      <c r="A27" s="16">
        <v>1110501101</v>
      </c>
      <c r="B27" s="17" t="s">
        <v>221</v>
      </c>
      <c r="C27" s="12">
        <v>0</v>
      </c>
      <c r="D27" s="10">
        <v>1.78</v>
      </c>
      <c r="E27" s="9" t="e">
        <f t="shared" si="0"/>
        <v>#DIV/0!</v>
      </c>
      <c r="F27" s="9">
        <f t="shared" si="1"/>
        <v>1.78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0.25" customHeight="1">
      <c r="A29" s="68">
        <v>1130000000</v>
      </c>
      <c r="B29" s="69" t="s">
        <v>128</v>
      </c>
      <c r="C29" s="5">
        <f>C30</f>
        <v>0</v>
      </c>
      <c r="D29" s="5">
        <f>D30</f>
        <v>0.42215999999999998</v>
      </c>
      <c r="E29" s="5" t="e">
        <f t="shared" si="0"/>
        <v>#DIV/0!</v>
      </c>
      <c r="F29" s="5">
        <f t="shared" si="1"/>
        <v>0.42215999999999998</v>
      </c>
    </row>
    <row r="30" spans="1:6" ht="19.5" customHeight="1">
      <c r="A30" s="7">
        <v>1130200000</v>
      </c>
      <c r="B30" s="8" t="s">
        <v>425</v>
      </c>
      <c r="C30" s="9">
        <v>0</v>
      </c>
      <c r="D30" s="10">
        <v>0.42215999999999998</v>
      </c>
      <c r="E30" s="9" t="e">
        <f t="shared" si="0"/>
        <v>#DIV/0!</v>
      </c>
      <c r="F30" s="9">
        <f t="shared" si="1"/>
        <v>0.42215999999999998</v>
      </c>
    </row>
    <row r="31" spans="1:6" ht="17.2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.7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240</v>
      </c>
      <c r="C34" s="5">
        <f>C36</f>
        <v>0</v>
      </c>
      <c r="D34" s="5">
        <f>SUM(D35)</f>
        <v>33.147739999999999</v>
      </c>
      <c r="E34" s="5" t="e">
        <f t="shared" si="0"/>
        <v>#DIV/0!</v>
      </c>
      <c r="F34" s="5">
        <f t="shared" si="1"/>
        <v>33.147739999999999</v>
      </c>
    </row>
    <row r="35" spans="1:7" ht="15" customHeight="1">
      <c r="A35" s="7">
        <v>1160700001</v>
      </c>
      <c r="B35" s="8" t="s">
        <v>409</v>
      </c>
      <c r="C35" s="9">
        <v>0</v>
      </c>
      <c r="D35" s="9">
        <v>33.147739999999999</v>
      </c>
      <c r="E35" s="5"/>
      <c r="F35" s="5"/>
    </row>
    <row r="36" spans="1:7" ht="15" customHeight="1">
      <c r="A36" s="7">
        <v>1163305010</v>
      </c>
      <c r="B36" s="8" t="s">
        <v>255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5" customHeight="1">
      <c r="A37" s="3">
        <v>1170000000</v>
      </c>
      <c r="B37" s="13" t="s">
        <v>132</v>
      </c>
      <c r="C37" s="5">
        <f>C38+C39</f>
        <v>0</v>
      </c>
      <c r="D37" s="5">
        <f>D38+D39</f>
        <v>-1.78</v>
      </c>
      <c r="E37" s="5" t="e">
        <f t="shared" si="0"/>
        <v>#DIV/0!</v>
      </c>
      <c r="F37" s="5">
        <f t="shared" si="1"/>
        <v>-1.78</v>
      </c>
    </row>
    <row r="38" spans="1:7" ht="15" customHeight="1">
      <c r="A38" s="7">
        <v>1170105005</v>
      </c>
      <c r="B38" s="8" t="s">
        <v>15</v>
      </c>
      <c r="C38" s="9">
        <v>0</v>
      </c>
      <c r="D38" s="9">
        <v>-1.78</v>
      </c>
      <c r="E38" s="9" t="e">
        <f t="shared" si="0"/>
        <v>#DIV/0!</v>
      </c>
      <c r="F38" s="9">
        <f t="shared" si="1"/>
        <v>-1.78</v>
      </c>
    </row>
    <row r="39" spans="1:7" ht="15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7">
        <f>SUM(C4,C25)</f>
        <v>5018.6900000000005</v>
      </c>
      <c r="D40" s="127">
        <f>SUM(D4,D25)</f>
        <v>4614.9331200000006</v>
      </c>
      <c r="E40" s="5">
        <f t="shared" si="0"/>
        <v>91.954934853517557</v>
      </c>
      <c r="F40" s="5">
        <f t="shared" si="1"/>
        <v>-403.75687999999991</v>
      </c>
    </row>
    <row r="41" spans="1:7" s="6" customFormat="1" ht="20.25" customHeight="1">
      <c r="A41" s="3">
        <v>2000000000</v>
      </c>
      <c r="B41" s="4" t="s">
        <v>17</v>
      </c>
      <c r="C41" s="233">
        <f>C42+C44+C46+C47+C49+C50+C43+C45+C52+C48</f>
        <v>11948.45333</v>
      </c>
      <c r="D41" s="233">
        <f>D42+D44+D46+D47+D49+D50+D43+D45+D52+D48</f>
        <v>6311.4539999999997</v>
      </c>
      <c r="E41" s="5">
        <f t="shared" si="0"/>
        <v>52.82235135951273</v>
      </c>
      <c r="F41" s="5">
        <f t="shared" si="1"/>
        <v>-5636.9993300000006</v>
      </c>
      <c r="G41" s="19"/>
    </row>
    <row r="42" spans="1:7" ht="15.75" customHeight="1">
      <c r="A42" s="16">
        <v>2021500200</v>
      </c>
      <c r="B42" s="17" t="s">
        <v>393</v>
      </c>
      <c r="C42" s="12">
        <v>2230</v>
      </c>
      <c r="D42" s="20">
        <v>530</v>
      </c>
      <c r="E42" s="9">
        <f t="shared" si="0"/>
        <v>23.766816143497756</v>
      </c>
      <c r="F42" s="9">
        <f t="shared" si="1"/>
        <v>-1700</v>
      </c>
    </row>
    <row r="43" spans="1:7" ht="15.75" customHeight="1">
      <c r="A43" s="16">
        <v>2020100310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15.75" customHeight="1">
      <c r="A44" s="16">
        <v>2022000000</v>
      </c>
      <c r="B44" s="17" t="s">
        <v>19</v>
      </c>
      <c r="C44" s="12">
        <v>5827.6904500000001</v>
      </c>
      <c r="D44" s="10">
        <v>3108.2139999999999</v>
      </c>
      <c r="E44" s="9">
        <f t="shared" si="0"/>
        <v>53.335262513814541</v>
      </c>
      <c r="F44" s="9">
        <f t="shared" si="1"/>
        <v>-2719.4764500000001</v>
      </c>
    </row>
    <row r="45" spans="1:7" ht="15.75" hidden="1" customHeight="1">
      <c r="A45" s="16">
        <v>2022999910</v>
      </c>
      <c r="B45" s="18" t="s">
        <v>328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3.5" customHeight="1">
      <c r="A46" s="16">
        <v>2023000000</v>
      </c>
      <c r="B46" s="17" t="s">
        <v>20</v>
      </c>
      <c r="C46" s="12">
        <v>198.36600000000001</v>
      </c>
      <c r="D46" s="187">
        <v>180.68299999999999</v>
      </c>
      <c r="E46" s="9">
        <f t="shared" si="0"/>
        <v>91.08566992327313</v>
      </c>
      <c r="F46" s="9">
        <f t="shared" si="1"/>
        <v>-17.683000000000021</v>
      </c>
    </row>
    <row r="47" spans="1:7" ht="12.75" customHeight="1">
      <c r="A47" s="16">
        <v>2020400000</v>
      </c>
      <c r="B47" s="17" t="s">
        <v>21</v>
      </c>
      <c r="C47" s="12">
        <v>2800</v>
      </c>
      <c r="D47" s="188">
        <v>1600</v>
      </c>
      <c r="E47" s="9">
        <f t="shared" si="0"/>
        <v>57.142857142857139</v>
      </c>
      <c r="F47" s="9">
        <f t="shared" si="1"/>
        <v>-1200</v>
      </c>
    </row>
    <row r="48" spans="1:7" ht="15" customHeight="1">
      <c r="A48" s="16">
        <v>2020700000</v>
      </c>
      <c r="B48" s="17"/>
      <c r="C48" s="12"/>
      <c r="D48" s="188"/>
      <c r="E48" s="9" t="e">
        <f t="shared" si="0"/>
        <v>#DIV/0!</v>
      </c>
      <c r="F48" s="9">
        <f t="shared" si="1"/>
        <v>0</v>
      </c>
    </row>
    <row r="49" spans="1:7" ht="18" customHeight="1">
      <c r="A49" s="16">
        <v>2020900000</v>
      </c>
      <c r="B49" s="18" t="s">
        <v>22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7" ht="15.75" customHeight="1">
      <c r="A50" s="7">
        <v>2190500005</v>
      </c>
      <c r="B50" s="11" t="s">
        <v>23</v>
      </c>
      <c r="C50" s="14">
        <v>0</v>
      </c>
      <c r="D50" s="14">
        <v>0</v>
      </c>
      <c r="E50" s="5" t="e">
        <f>SUM(D50/C50*100)</f>
        <v>#DIV/0!</v>
      </c>
      <c r="F50" s="5">
        <f>SUM(D50-C50)</f>
        <v>0</v>
      </c>
    </row>
    <row r="51" spans="1:7" s="6" customFormat="1" ht="15.75" hidden="1" customHeight="1">
      <c r="A51" s="3">
        <v>3000000000</v>
      </c>
      <c r="B51" s="13" t="s">
        <v>24</v>
      </c>
      <c r="C51" s="191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7" s="6" customFormat="1" ht="17.25" customHeight="1">
      <c r="A52" s="7">
        <v>2070500010</v>
      </c>
      <c r="B52" s="8" t="s">
        <v>330</v>
      </c>
      <c r="C52" s="12">
        <v>892.39688000000001</v>
      </c>
      <c r="D52" s="10">
        <v>892.55700000000002</v>
      </c>
      <c r="E52" s="9">
        <f t="shared" si="0"/>
        <v>100.01794268935589</v>
      </c>
      <c r="F52" s="9">
        <f t="shared" si="1"/>
        <v>0.16012000000000626</v>
      </c>
    </row>
    <row r="53" spans="1:7" s="6" customFormat="1" ht="15.75" customHeight="1">
      <c r="A53" s="3"/>
      <c r="B53" s="4" t="s">
        <v>25</v>
      </c>
      <c r="C53" s="470">
        <f>C40+C41</f>
        <v>16967.143329999999</v>
      </c>
      <c r="D53" s="469">
        <f>D40+D41</f>
        <v>10926.387119999999</v>
      </c>
      <c r="E53" s="5">
        <f t="shared" si="0"/>
        <v>64.397329046432944</v>
      </c>
      <c r="F53" s="5">
        <f t="shared" si="1"/>
        <v>-6040.7562099999996</v>
      </c>
      <c r="G53" s="94"/>
    </row>
    <row r="54" spans="1:7" s="6" customFormat="1">
      <c r="A54" s="3"/>
      <c r="B54" s="21" t="s">
        <v>307</v>
      </c>
      <c r="C54" s="93">
        <f>C53-C104</f>
        <v>-148.79491000000053</v>
      </c>
      <c r="D54" s="93">
        <f>D53-D104</f>
        <v>340.37941000000137</v>
      </c>
      <c r="E54" s="22"/>
      <c r="F54" s="22"/>
    </row>
    <row r="55" spans="1:7">
      <c r="A55" s="23"/>
      <c r="B55" s="24"/>
      <c r="C55" s="186"/>
      <c r="D55" s="186"/>
      <c r="E55" s="26"/>
      <c r="F55" s="92"/>
    </row>
    <row r="56" spans="1:7" ht="42.75" customHeight="1">
      <c r="A56" s="28" t="s">
        <v>0</v>
      </c>
      <c r="B56" s="28" t="s">
        <v>26</v>
      </c>
      <c r="C56" s="179" t="s">
        <v>398</v>
      </c>
      <c r="D56" s="180" t="s">
        <v>416</v>
      </c>
      <c r="E56" s="72" t="s">
        <v>2</v>
      </c>
      <c r="F56" s="74" t="s">
        <v>3</v>
      </c>
    </row>
    <row r="57" spans="1:7">
      <c r="A57" s="89">
        <v>1</v>
      </c>
      <c r="B57" s="28">
        <v>2</v>
      </c>
      <c r="C57" s="87">
        <v>3</v>
      </c>
      <c r="D57" s="87">
        <v>4</v>
      </c>
      <c r="E57" s="87">
        <v>5</v>
      </c>
      <c r="F57" s="87">
        <v>6</v>
      </c>
    </row>
    <row r="58" spans="1:7" s="6" customFormat="1" ht="29.25" customHeight="1">
      <c r="A58" s="30" t="s">
        <v>27</v>
      </c>
      <c r="B58" s="31" t="s">
        <v>28</v>
      </c>
      <c r="C58" s="182">
        <f>C59+C60+C61+C62+C63+C65+C64</f>
        <v>2234.732</v>
      </c>
      <c r="D58" s="32">
        <f>D59+D60+D61+D62+D63+D65+D64</f>
        <v>1898.90227</v>
      </c>
      <c r="E58" s="34">
        <f>SUM(D58/C58*100)</f>
        <v>84.972259313421034</v>
      </c>
      <c r="F58" s="34">
        <f>SUM(D58-C58)</f>
        <v>-335.82972999999993</v>
      </c>
    </row>
    <row r="59" spans="1:7" s="6" customFormat="1" ht="31.5" hidden="1">
      <c r="A59" s="35" t="s">
        <v>29</v>
      </c>
      <c r="B59" s="36" t="s">
        <v>30</v>
      </c>
      <c r="C59" s="37"/>
      <c r="D59" s="37"/>
      <c r="E59" s="38"/>
      <c r="F59" s="38"/>
    </row>
    <row r="60" spans="1:7">
      <c r="A60" s="35" t="s">
        <v>31</v>
      </c>
      <c r="B60" s="39" t="s">
        <v>32</v>
      </c>
      <c r="C60" s="37">
        <v>2193.3000000000002</v>
      </c>
      <c r="D60" s="37">
        <v>1866.90227</v>
      </c>
      <c r="E60" s="38">
        <f t="shared" ref="E60:E104" si="3">SUM(D60/C60*100)</f>
        <v>85.118418365020744</v>
      </c>
      <c r="F60" s="38">
        <f t="shared" ref="F60:F104" si="4">SUM(D60-C60)</f>
        <v>-326.39773000000014</v>
      </c>
    </row>
    <row r="61" spans="1:7" ht="0.75" hidden="1" customHeight="1">
      <c r="A61" s="35" t="s">
        <v>33</v>
      </c>
      <c r="B61" s="39" t="s">
        <v>34</v>
      </c>
      <c r="C61" s="37"/>
      <c r="D61" s="37"/>
      <c r="E61" s="38"/>
      <c r="F61" s="38">
        <f t="shared" si="4"/>
        <v>0</v>
      </c>
    </row>
    <row r="62" spans="1:7" ht="31.5" hidden="1" customHeight="1">
      <c r="A62" s="35" t="s">
        <v>35</v>
      </c>
      <c r="B62" s="39" t="s">
        <v>36</v>
      </c>
      <c r="C62" s="37"/>
      <c r="D62" s="37"/>
      <c r="E62" s="38" t="e">
        <f t="shared" si="3"/>
        <v>#DIV/0!</v>
      </c>
      <c r="F62" s="38">
        <f t="shared" si="4"/>
        <v>0</v>
      </c>
    </row>
    <row r="63" spans="1:7" ht="17.25" customHeight="1">
      <c r="A63" s="35" t="s">
        <v>37</v>
      </c>
      <c r="B63" s="39" t="s">
        <v>38</v>
      </c>
      <c r="C63" s="37">
        <v>32</v>
      </c>
      <c r="D63" s="37">
        <v>32</v>
      </c>
      <c r="E63" s="38">
        <f t="shared" si="3"/>
        <v>100</v>
      </c>
      <c r="F63" s="38">
        <f t="shared" si="4"/>
        <v>0</v>
      </c>
    </row>
    <row r="64" spans="1:7" ht="15.75" customHeight="1">
      <c r="A64" s="35" t="s">
        <v>39</v>
      </c>
      <c r="B64" s="39" t="s">
        <v>40</v>
      </c>
      <c r="C64" s="40">
        <v>5</v>
      </c>
      <c r="D64" s="40">
        <v>0</v>
      </c>
      <c r="E64" s="38">
        <f>SUM(D64/C64*100)</f>
        <v>0</v>
      </c>
      <c r="F64" s="38">
        <f t="shared" si="4"/>
        <v>-5</v>
      </c>
    </row>
    <row r="65" spans="1:7" ht="18" customHeight="1">
      <c r="A65" s="35" t="s">
        <v>41</v>
      </c>
      <c r="B65" s="39" t="s">
        <v>42</v>
      </c>
      <c r="C65" s="37">
        <v>4.4320000000000004</v>
      </c>
      <c r="D65" s="37">
        <v>0</v>
      </c>
      <c r="E65" s="38">
        <f t="shared" si="3"/>
        <v>0</v>
      </c>
      <c r="F65" s="38">
        <f t="shared" si="4"/>
        <v>-4.4320000000000004</v>
      </c>
    </row>
    <row r="66" spans="1:7" s="6" customFormat="1">
      <c r="A66" s="41" t="s">
        <v>43</v>
      </c>
      <c r="B66" s="42" t="s">
        <v>44</v>
      </c>
      <c r="C66" s="32">
        <f>C67</f>
        <v>198.36600000000001</v>
      </c>
      <c r="D66" s="32">
        <f>D67</f>
        <v>152.41871</v>
      </c>
      <c r="E66" s="34">
        <f t="shared" si="3"/>
        <v>76.837114223203571</v>
      </c>
      <c r="F66" s="34">
        <f t="shared" si="4"/>
        <v>-45.94729000000001</v>
      </c>
    </row>
    <row r="67" spans="1:7">
      <c r="A67" s="43" t="s">
        <v>45</v>
      </c>
      <c r="B67" s="44" t="s">
        <v>46</v>
      </c>
      <c r="C67" s="37">
        <v>198.36600000000001</v>
      </c>
      <c r="D67" s="37">
        <v>152.41871</v>
      </c>
      <c r="E67" s="38">
        <f t="shared" si="3"/>
        <v>76.837114223203571</v>
      </c>
      <c r="F67" s="38">
        <f t="shared" si="4"/>
        <v>-45.94729000000001</v>
      </c>
    </row>
    <row r="68" spans="1:7" s="6" customFormat="1" ht="15" customHeight="1">
      <c r="A68" s="30" t="s">
        <v>47</v>
      </c>
      <c r="B68" s="31" t="s">
        <v>48</v>
      </c>
      <c r="C68" s="32">
        <f>C71+C72+C73</f>
        <v>2.4</v>
      </c>
      <c r="D68" s="32">
        <f>D71+D72</f>
        <v>1.2</v>
      </c>
      <c r="E68" s="34">
        <f t="shared" si="3"/>
        <v>50</v>
      </c>
      <c r="F68" s="34">
        <f t="shared" si="4"/>
        <v>-1.2</v>
      </c>
    </row>
    <row r="69" spans="1:7" hidden="1">
      <c r="A69" s="35" t="s">
        <v>49</v>
      </c>
      <c r="B69" s="39" t="s">
        <v>50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idden="1">
      <c r="A70" s="45" t="s">
        <v>51</v>
      </c>
      <c r="B70" s="39" t="s">
        <v>52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t="17.25" customHeight="1">
      <c r="A71" s="46" t="s">
        <v>53</v>
      </c>
      <c r="B71" s="47" t="s">
        <v>54</v>
      </c>
      <c r="C71" s="96"/>
      <c r="D71" s="37">
        <v>0</v>
      </c>
      <c r="E71" s="34" t="e">
        <f t="shared" si="3"/>
        <v>#DIV/0!</v>
      </c>
      <c r="F71" s="34">
        <f t="shared" si="4"/>
        <v>0</v>
      </c>
    </row>
    <row r="72" spans="1:7" ht="15.75" customHeight="1">
      <c r="A72" s="46" t="s">
        <v>214</v>
      </c>
      <c r="B72" s="47" t="s">
        <v>215</v>
      </c>
      <c r="C72" s="37">
        <v>2.4</v>
      </c>
      <c r="D72" s="37">
        <v>1.2</v>
      </c>
      <c r="E72" s="34">
        <f t="shared" si="3"/>
        <v>50</v>
      </c>
      <c r="F72" s="34">
        <f t="shared" si="4"/>
        <v>-1.2</v>
      </c>
    </row>
    <row r="73" spans="1:7" ht="15.75" customHeight="1">
      <c r="A73" s="46" t="s">
        <v>336</v>
      </c>
      <c r="B73" s="47" t="s">
        <v>392</v>
      </c>
      <c r="C73" s="37">
        <v>0</v>
      </c>
      <c r="D73" s="37"/>
      <c r="E73" s="34"/>
      <c r="F73" s="34"/>
    </row>
    <row r="74" spans="1:7" s="6" customFormat="1" ht="17.25" customHeight="1">
      <c r="A74" s="30" t="s">
        <v>55</v>
      </c>
      <c r="B74" s="31" t="s">
        <v>56</v>
      </c>
      <c r="C74" s="48">
        <f>SUM(C75:C78)</f>
        <v>2278.4480199999998</v>
      </c>
      <c r="D74" s="48">
        <f>SUM(D75:D78)</f>
        <v>1815.9101499999999</v>
      </c>
      <c r="E74" s="34">
        <f t="shared" si="3"/>
        <v>79.69943286219889</v>
      </c>
      <c r="F74" s="34">
        <f t="shared" si="4"/>
        <v>-462.53786999999988</v>
      </c>
    </row>
    <row r="75" spans="1:7" ht="15" customHeight="1">
      <c r="A75" s="35" t="s">
        <v>57</v>
      </c>
      <c r="B75" s="39" t="s">
        <v>58</v>
      </c>
      <c r="C75" s="49"/>
      <c r="D75" s="37">
        <v>0</v>
      </c>
      <c r="E75" s="38" t="e">
        <f t="shared" si="3"/>
        <v>#DIV/0!</v>
      </c>
      <c r="F75" s="38">
        <f t="shared" si="4"/>
        <v>0</v>
      </c>
    </row>
    <row r="76" spans="1:7" s="6" customFormat="1" ht="15" hidden="1" customHeight="1">
      <c r="A76" s="35" t="s">
        <v>59</v>
      </c>
      <c r="B76" s="39" t="s">
        <v>60</v>
      </c>
      <c r="C76" s="49">
        <v>0</v>
      </c>
      <c r="D76" s="37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49">
        <v>2039.52439</v>
      </c>
      <c r="D77" s="37">
        <v>1765.9101499999999</v>
      </c>
      <c r="E77" s="38">
        <f t="shared" si="3"/>
        <v>86.584409515200747</v>
      </c>
      <c r="F77" s="38">
        <f t="shared" si="4"/>
        <v>-273.61424000000011</v>
      </c>
    </row>
    <row r="78" spans="1:7">
      <c r="A78" s="35" t="s">
        <v>63</v>
      </c>
      <c r="B78" s="39" t="s">
        <v>64</v>
      </c>
      <c r="C78" s="49">
        <v>238.92363</v>
      </c>
      <c r="D78" s="37">
        <v>50</v>
      </c>
      <c r="E78" s="38">
        <f t="shared" si="3"/>
        <v>20.927189160820969</v>
      </c>
      <c r="F78" s="38">
        <f t="shared" si="4"/>
        <v>-188.92363</v>
      </c>
    </row>
    <row r="79" spans="1:7" s="6" customFormat="1" ht="17.25" customHeight="1">
      <c r="A79" s="30" t="s">
        <v>65</v>
      </c>
      <c r="B79" s="31" t="s">
        <v>66</v>
      </c>
      <c r="C79" s="32">
        <f>SUM(C80:C83)</f>
        <v>11057.99222</v>
      </c>
      <c r="D79" s="32">
        <f>SUM(D80:D83)</f>
        <v>6501.576579999999</v>
      </c>
      <c r="E79" s="34">
        <f t="shared" si="3"/>
        <v>58.795271787593997</v>
      </c>
      <c r="F79" s="34">
        <f t="shared" si="4"/>
        <v>-4556.4156400000011</v>
      </c>
    </row>
    <row r="80" spans="1:7" ht="17.25" hidden="1" customHeight="1">
      <c r="A80" s="35" t="s">
        <v>67</v>
      </c>
      <c r="B80" s="51" t="s">
        <v>68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69</v>
      </c>
      <c r="B81" s="51" t="s">
        <v>70</v>
      </c>
      <c r="C81" s="37">
        <v>8720.8652899999997</v>
      </c>
      <c r="D81" s="37">
        <v>4294.9989699999996</v>
      </c>
      <c r="E81" s="38">
        <f t="shared" si="3"/>
        <v>49.249688272618641</v>
      </c>
      <c r="F81" s="38">
        <f t="shared" si="4"/>
        <v>-4425.8663200000001</v>
      </c>
    </row>
    <row r="82" spans="1:6" ht="18" customHeight="1">
      <c r="A82" s="35" t="s">
        <v>71</v>
      </c>
      <c r="B82" s="39" t="s">
        <v>72</v>
      </c>
      <c r="C82" s="37">
        <v>2337.1269299999999</v>
      </c>
      <c r="D82" s="37">
        <v>2206.5776099999998</v>
      </c>
      <c r="E82" s="38">
        <f t="shared" si="3"/>
        <v>94.414110833081708</v>
      </c>
      <c r="F82" s="38">
        <f t="shared" si="4"/>
        <v>-130.54932000000008</v>
      </c>
    </row>
    <row r="83" spans="1:6" hidden="1">
      <c r="A83" s="35" t="s">
        <v>251</v>
      </c>
      <c r="B83" s="39" t="s">
        <v>252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s="6" customFormat="1" ht="20.25" customHeight="1">
      <c r="A84" s="30" t="s">
        <v>83</v>
      </c>
      <c r="B84" s="31" t="s">
        <v>84</v>
      </c>
      <c r="C84" s="32">
        <f>C85+C86</f>
        <v>1312</v>
      </c>
      <c r="D84" s="32">
        <f>D85+D86</f>
        <v>201</v>
      </c>
      <c r="E84" s="34">
        <f t="shared" si="3"/>
        <v>15.320121951219512</v>
      </c>
      <c r="F84" s="34">
        <f t="shared" si="4"/>
        <v>-1111</v>
      </c>
    </row>
    <row r="85" spans="1:6" ht="18" customHeight="1">
      <c r="A85" s="35" t="s">
        <v>85</v>
      </c>
      <c r="B85" s="39" t="s">
        <v>229</v>
      </c>
      <c r="C85" s="37">
        <v>1312</v>
      </c>
      <c r="D85" s="37">
        <v>201</v>
      </c>
      <c r="E85" s="38">
        <f t="shared" si="3"/>
        <v>15.320121951219512</v>
      </c>
      <c r="F85" s="38">
        <f t="shared" si="4"/>
        <v>-1111</v>
      </c>
    </row>
    <row r="86" spans="1:6" hidden="1">
      <c r="A86" s="35" t="s">
        <v>258</v>
      </c>
      <c r="B86" s="39" t="s">
        <v>259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s="6" customFormat="1" hidden="1">
      <c r="A87" s="52">
        <v>1000</v>
      </c>
      <c r="B87" s="31" t="s">
        <v>86</v>
      </c>
      <c r="C87" s="32">
        <f>SUM(C88:C91)</f>
        <v>0</v>
      </c>
      <c r="D87" s="32">
        <f>SUM(D88:D91)</f>
        <v>0</v>
      </c>
      <c r="E87" s="38" t="e">
        <f t="shared" si="3"/>
        <v>#DIV/0!</v>
      </c>
      <c r="F87" s="38">
        <f t="shared" si="4"/>
        <v>0</v>
      </c>
    </row>
    <row r="88" spans="1:6" hidden="1">
      <c r="A88" s="53">
        <v>1001</v>
      </c>
      <c r="B88" s="54" t="s">
        <v>87</v>
      </c>
      <c r="C88" s="37"/>
      <c r="D88" s="37"/>
      <c r="E88" s="38" t="e">
        <f t="shared" si="3"/>
        <v>#DIV/0!</v>
      </c>
      <c r="F88" s="38">
        <f t="shared" si="4"/>
        <v>0</v>
      </c>
    </row>
    <row r="89" spans="1:6" ht="17.25" hidden="1" customHeight="1">
      <c r="A89" s="53">
        <v>1003</v>
      </c>
      <c r="B89" s="54" t="s">
        <v>88</v>
      </c>
      <c r="C89" s="37">
        <v>0</v>
      </c>
      <c r="D89" s="37">
        <v>0</v>
      </c>
      <c r="E89" s="38" t="e">
        <f t="shared" si="3"/>
        <v>#DIV/0!</v>
      </c>
      <c r="F89" s="38">
        <f t="shared" si="4"/>
        <v>0</v>
      </c>
    </row>
    <row r="90" spans="1:6" ht="15" hidden="1" customHeight="1">
      <c r="A90" s="53">
        <v>1004</v>
      </c>
      <c r="B90" s="54" t="s">
        <v>89</v>
      </c>
      <c r="C90" s="37">
        <v>0</v>
      </c>
      <c r="D90" s="55">
        <v>0</v>
      </c>
      <c r="E90" s="38" t="e">
        <f t="shared" si="3"/>
        <v>#DIV/0!</v>
      </c>
      <c r="F90" s="38">
        <f t="shared" si="4"/>
        <v>0</v>
      </c>
    </row>
    <row r="91" spans="1:6" ht="18" hidden="1" customHeight="1">
      <c r="A91" s="35" t="s">
        <v>90</v>
      </c>
      <c r="B91" s="39" t="s">
        <v>91</v>
      </c>
      <c r="C91" s="37">
        <v>0</v>
      </c>
      <c r="D91" s="37">
        <v>0</v>
      </c>
      <c r="E91" s="38" t="e">
        <f t="shared" si="3"/>
        <v>#DIV/0!</v>
      </c>
      <c r="F91" s="38">
        <f t="shared" si="4"/>
        <v>0</v>
      </c>
    </row>
    <row r="92" spans="1:6" ht="18.75" hidden="1" customHeight="1">
      <c r="A92" s="52">
        <v>1000</v>
      </c>
      <c r="B92" s="31" t="s">
        <v>86</v>
      </c>
      <c r="C92" s="32">
        <f>SUM(C93)</f>
        <v>0</v>
      </c>
      <c r="D92" s="32">
        <f>SUM(D93)</f>
        <v>0</v>
      </c>
      <c r="E92" s="34" t="e">
        <f t="shared" si="3"/>
        <v>#DIV/0!</v>
      </c>
      <c r="F92" s="34">
        <f t="shared" si="4"/>
        <v>0</v>
      </c>
    </row>
    <row r="93" spans="1:6" ht="20.25" hidden="1" customHeight="1">
      <c r="A93" s="53">
        <v>1006</v>
      </c>
      <c r="B93" s="54" t="s">
        <v>87</v>
      </c>
      <c r="C93" s="37">
        <v>0</v>
      </c>
      <c r="D93" s="37">
        <v>0</v>
      </c>
      <c r="E93" s="38" t="e">
        <f t="shared" si="3"/>
        <v>#DIV/0!</v>
      </c>
      <c r="F93" s="38">
        <f t="shared" si="4"/>
        <v>0</v>
      </c>
    </row>
    <row r="94" spans="1:6" ht="16.5" customHeight="1">
      <c r="A94" s="53">
        <v>1100</v>
      </c>
      <c r="B94" s="56" t="s">
        <v>93</v>
      </c>
      <c r="C94" s="32">
        <f>C95+C96+C97+C98+C99</f>
        <v>32</v>
      </c>
      <c r="D94" s="32">
        <f>D95+D96+D97+D98+D99</f>
        <v>15</v>
      </c>
      <c r="E94" s="38">
        <f t="shared" si="3"/>
        <v>46.875</v>
      </c>
      <c r="F94" s="22">
        <f>F95+F96+F97+F98+F99</f>
        <v>-17</v>
      </c>
    </row>
    <row r="95" spans="1:6" ht="18.75" customHeight="1">
      <c r="A95" s="53">
        <v>1101</v>
      </c>
      <c r="B95" s="54" t="s">
        <v>95</v>
      </c>
      <c r="C95" s="37">
        <v>32</v>
      </c>
      <c r="D95" s="37">
        <v>15</v>
      </c>
      <c r="E95" s="38">
        <f t="shared" si="3"/>
        <v>46.875</v>
      </c>
      <c r="F95" s="38">
        <f>SUM(D95-C95)</f>
        <v>-17</v>
      </c>
    </row>
    <row r="96" spans="1:6" ht="0.75" hidden="1" customHeight="1">
      <c r="A96" s="35" t="s">
        <v>90</v>
      </c>
      <c r="B96" s="39" t="s">
        <v>91</v>
      </c>
      <c r="C96" s="37"/>
      <c r="D96" s="37"/>
      <c r="E96" s="38" t="e">
        <f t="shared" si="3"/>
        <v>#DIV/0!</v>
      </c>
      <c r="F96" s="38">
        <f>SUM(D96-C96)</f>
        <v>0</v>
      </c>
    </row>
    <row r="97" spans="1:6" ht="18" hidden="1" customHeight="1">
      <c r="A97" s="35" t="s">
        <v>98</v>
      </c>
      <c r="B97" s="39" t="s">
        <v>99</v>
      </c>
      <c r="C97" s="37"/>
      <c r="D97" s="37"/>
      <c r="E97" s="38" t="e">
        <f t="shared" si="3"/>
        <v>#DIV/0!</v>
      </c>
      <c r="F97" s="38"/>
    </row>
    <row r="98" spans="1:6" ht="17.25" hidden="1" customHeight="1">
      <c r="A98" s="35" t="s">
        <v>100</v>
      </c>
      <c r="B98" s="39" t="s">
        <v>101</v>
      </c>
      <c r="C98" s="37"/>
      <c r="D98" s="37"/>
      <c r="E98" s="38" t="e">
        <f t="shared" si="3"/>
        <v>#DIV/0!</v>
      </c>
      <c r="F98" s="38"/>
    </row>
    <row r="99" spans="1:6" ht="18" hidden="1" customHeight="1">
      <c r="A99" s="35" t="s">
        <v>102</v>
      </c>
      <c r="B99" s="39" t="s">
        <v>103</v>
      </c>
      <c r="C99" s="37"/>
      <c r="D99" s="37"/>
      <c r="E99" s="38" t="e">
        <f t="shared" si="3"/>
        <v>#DIV/0!</v>
      </c>
      <c r="F99" s="38"/>
    </row>
    <row r="100" spans="1:6" s="6" customFormat="1" ht="57.75" hidden="1" customHeight="1">
      <c r="A100" s="52">
        <v>1400</v>
      </c>
      <c r="B100" s="56" t="s">
        <v>112</v>
      </c>
      <c r="C100" s="48">
        <f>C101+C102+C103</f>
        <v>0</v>
      </c>
      <c r="D100" s="48">
        <f>SUM(D101:D103)</f>
        <v>0</v>
      </c>
      <c r="E100" s="34" t="e">
        <f t="shared" si="3"/>
        <v>#DIV/0!</v>
      </c>
      <c r="F100" s="34">
        <f t="shared" si="4"/>
        <v>0</v>
      </c>
    </row>
    <row r="101" spans="1:6" ht="1.5" hidden="1" customHeight="1">
      <c r="A101" s="53">
        <v>1401</v>
      </c>
      <c r="B101" s="54" t="s">
        <v>113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16.5" hidden="1" customHeight="1">
      <c r="A102" s="53">
        <v>1402</v>
      </c>
      <c r="B102" s="54" t="s">
        <v>114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ht="20.25" hidden="1" customHeight="1">
      <c r="A103" s="53">
        <v>1403</v>
      </c>
      <c r="B103" s="54" t="s">
        <v>115</v>
      </c>
      <c r="C103" s="49"/>
      <c r="D103" s="37"/>
      <c r="E103" s="38" t="e">
        <f t="shared" si="3"/>
        <v>#DIV/0!</v>
      </c>
      <c r="F103" s="38">
        <f t="shared" si="4"/>
        <v>0</v>
      </c>
    </row>
    <row r="104" spans="1:6" s="6" customFormat="1" ht="14.25" customHeight="1">
      <c r="A104" s="52"/>
      <c r="B104" s="57" t="s">
        <v>116</v>
      </c>
      <c r="C104" s="455">
        <f>C58+C66+C68+C74+C79+C84+C87+C94+C100+C92</f>
        <v>17115.938239999999</v>
      </c>
      <c r="D104" s="455">
        <f>D58+D66+D68+D74+D79+D84+D87+D94+D100+D92</f>
        <v>10586.007709999998</v>
      </c>
      <c r="E104" s="34">
        <f t="shared" si="3"/>
        <v>61.848830964232306</v>
      </c>
      <c r="F104" s="34">
        <f t="shared" si="4"/>
        <v>-6529.9305300000015</v>
      </c>
    </row>
    <row r="105" spans="1:6">
      <c r="D105" s="181"/>
    </row>
    <row r="106" spans="1:6" s="65" customFormat="1" ht="12.75">
      <c r="A106" s="63" t="s">
        <v>117</v>
      </c>
      <c r="B106" s="63"/>
      <c r="C106" s="119"/>
      <c r="D106" s="64"/>
    </row>
    <row r="107" spans="1:6" s="65" customFormat="1" ht="18.75" customHeight="1">
      <c r="A107" s="66" t="s">
        <v>118</v>
      </c>
      <c r="B107" s="66"/>
      <c r="C107" s="65" t="s">
        <v>119</v>
      </c>
    </row>
    <row r="144" hidden="1"/>
  </sheetData>
  <customSheetViews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1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3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5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6"/>
    </customSheetView>
    <customSheetView guid="{B30CE22D-C12F-4E12-8BB9-3AAE0A6991CC}" scale="70" showPageBreaks="1" hiddenRows="1" view="pageBreakPreview" topLeftCell="A34">
      <selection activeCell="C53" activeCellId="1" sqref="C104:D104 C53:D54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43">
      <selection activeCell="C104" sqref="C104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Лист5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2020-12-07T07:51:52Z</cp:lastPrinted>
  <dcterms:created xsi:type="dcterms:W3CDTF">1996-10-08T23:32:33Z</dcterms:created>
  <dcterms:modified xsi:type="dcterms:W3CDTF">2020-12-07T08:34:28Z</dcterms:modified>
</cp:coreProperties>
</file>